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1978D8A-456D-4313-9C3F-AC4C50F8B7C3}" xr6:coauthVersionLast="47" xr6:coauthVersionMax="47" xr10:uidLastSave="{00000000-0000-0000-0000-000000000000}"/>
  <workbookProtection workbookPassword="B70A" lockStructure="1"/>
  <bookViews>
    <workbookView xWindow="1515" yWindow="1515" windowWidth="21600" windowHeight="11505" tabRatio="855" xr2:uid="{5A0DC44C-39FA-4B50-BBD6-03A4DD1F02B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G89" i="1"/>
  <c r="G458" i="1"/>
  <c r="C9" i="12"/>
  <c r="C18" i="12"/>
  <c r="C36" i="12"/>
  <c r="C39" i="12"/>
  <c r="B36" i="12"/>
  <c r="B39" i="12"/>
  <c r="B30" i="12"/>
  <c r="C30" i="12" s="1"/>
  <c r="B28" i="12"/>
  <c r="B31" i="12" s="1"/>
  <c r="B20" i="12"/>
  <c r="B19" i="12"/>
  <c r="B21" i="12"/>
  <c r="B12" i="12"/>
  <c r="C12" i="12" s="1"/>
  <c r="B11" i="12"/>
  <c r="C11" i="12" s="1"/>
  <c r="B10" i="12"/>
  <c r="H488" i="1"/>
  <c r="G492" i="1"/>
  <c r="F492" i="1"/>
  <c r="F491" i="1"/>
  <c r="B154" i="2" s="1"/>
  <c r="G488" i="1"/>
  <c r="G491" i="1" s="1"/>
  <c r="C151" i="2"/>
  <c r="G151" i="2" s="1"/>
  <c r="F488" i="1"/>
  <c r="I497" i="1"/>
  <c r="F462" i="1"/>
  <c r="K252" i="1"/>
  <c r="G359" i="1"/>
  <c r="H360" i="1"/>
  <c r="G360" i="1"/>
  <c r="F360" i="1"/>
  <c r="H359" i="1"/>
  <c r="F359" i="1"/>
  <c r="I359" i="1" s="1"/>
  <c r="I361" i="1" s="1"/>
  <c r="H624" i="1" s="1"/>
  <c r="G351" i="1"/>
  <c r="L351" i="1" s="1"/>
  <c r="G651" i="1" s="1"/>
  <c r="K352" i="1"/>
  <c r="L352" i="1" s="1"/>
  <c r="J352" i="1"/>
  <c r="I352" i="1"/>
  <c r="G352" i="1"/>
  <c r="F352" i="1"/>
  <c r="K351" i="1"/>
  <c r="J351" i="1"/>
  <c r="I351" i="1"/>
  <c r="F351" i="1"/>
  <c r="K350" i="1"/>
  <c r="J350" i="1"/>
  <c r="J354" i="1" s="1"/>
  <c r="I350" i="1"/>
  <c r="G350" i="1"/>
  <c r="L350" i="1" s="1"/>
  <c r="F350" i="1"/>
  <c r="G150" i="1"/>
  <c r="I594" i="1"/>
  <c r="J594" i="1"/>
  <c r="H594" i="1"/>
  <c r="G603" i="1"/>
  <c r="G602" i="1"/>
  <c r="G601" i="1"/>
  <c r="F603" i="1"/>
  <c r="F602" i="1"/>
  <c r="L602" i="1" s="1"/>
  <c r="G653" i="1" s="1"/>
  <c r="F601" i="1"/>
  <c r="F604" i="1" s="1"/>
  <c r="J583" i="1"/>
  <c r="J588" i="1" s="1"/>
  <c r="H641" i="1" s="1"/>
  <c r="H236" i="1"/>
  <c r="H227" i="1"/>
  <c r="H228" i="1"/>
  <c r="H218" i="1"/>
  <c r="H210" i="1"/>
  <c r="J584" i="1"/>
  <c r="J581" i="1"/>
  <c r="I581" i="1"/>
  <c r="H581" i="1"/>
  <c r="K513" i="1"/>
  <c r="J513" i="1"/>
  <c r="I513" i="1"/>
  <c r="L513" i="1" s="1"/>
  <c r="F541" i="1" s="1"/>
  <c r="H513" i="1"/>
  <c r="G513" i="1"/>
  <c r="F513" i="1"/>
  <c r="K512" i="1"/>
  <c r="J512" i="1"/>
  <c r="I512" i="1"/>
  <c r="H512" i="1"/>
  <c r="G512" i="1"/>
  <c r="F512" i="1"/>
  <c r="K511" i="1"/>
  <c r="J511" i="1"/>
  <c r="J514" i="1" s="1"/>
  <c r="J535" i="1" s="1"/>
  <c r="I511" i="1"/>
  <c r="L511" i="1" s="1"/>
  <c r="H511" i="1"/>
  <c r="G511" i="1"/>
  <c r="F511" i="1"/>
  <c r="H572" i="1"/>
  <c r="G572" i="1"/>
  <c r="F572" i="1"/>
  <c r="H569" i="1"/>
  <c r="G569" i="1"/>
  <c r="F569" i="1"/>
  <c r="H528" i="1"/>
  <c r="L528" i="1" s="1"/>
  <c r="I541" i="1" s="1"/>
  <c r="H527" i="1"/>
  <c r="L527" i="1" s="1"/>
  <c r="I540" i="1" s="1"/>
  <c r="H526" i="1"/>
  <c r="H529" i="1" s="1"/>
  <c r="K523" i="1"/>
  <c r="K522" i="1"/>
  <c r="K521" i="1"/>
  <c r="K308" i="1"/>
  <c r="J308" i="1"/>
  <c r="I308" i="1"/>
  <c r="H308" i="1"/>
  <c r="H462" i="1"/>
  <c r="H458" i="1"/>
  <c r="H96" i="1"/>
  <c r="E53" i="2" s="1"/>
  <c r="H88" i="1"/>
  <c r="H103" i="1" s="1"/>
  <c r="H25" i="1"/>
  <c r="E24" i="2" s="1"/>
  <c r="H41" i="1"/>
  <c r="H9" i="1"/>
  <c r="G308" i="1"/>
  <c r="C27" i="12" s="1"/>
  <c r="F308" i="1"/>
  <c r="C60" i="2"/>
  <c r="B2" i="13"/>
  <c r="F8" i="13"/>
  <c r="G8" i="13"/>
  <c r="L196" i="1"/>
  <c r="C17" i="10" s="1"/>
  <c r="E8" i="13"/>
  <c r="C8" i="13" s="1"/>
  <c r="L214" i="1"/>
  <c r="L232" i="1"/>
  <c r="D39" i="13"/>
  <c r="F13" i="13"/>
  <c r="G13" i="13"/>
  <c r="L198" i="1"/>
  <c r="L216" i="1"/>
  <c r="L234" i="1"/>
  <c r="C114" i="2" s="1"/>
  <c r="E13" i="13"/>
  <c r="C13" i="13"/>
  <c r="F16" i="13"/>
  <c r="G16" i="13"/>
  <c r="L201" i="1"/>
  <c r="C117" i="2" s="1"/>
  <c r="L219" i="1"/>
  <c r="E16" i="13" s="1"/>
  <c r="C16" i="13" s="1"/>
  <c r="L237" i="1"/>
  <c r="F5" i="13"/>
  <c r="G5" i="13"/>
  <c r="L189" i="1"/>
  <c r="L190" i="1"/>
  <c r="L203" i="1" s="1"/>
  <c r="C11" i="10"/>
  <c r="L191" i="1"/>
  <c r="C12" i="10" s="1"/>
  <c r="L192" i="1"/>
  <c r="L207" i="1"/>
  <c r="L208" i="1"/>
  <c r="L209" i="1"/>
  <c r="L210" i="1"/>
  <c r="L225" i="1"/>
  <c r="L226" i="1"/>
  <c r="L227" i="1"/>
  <c r="L228" i="1"/>
  <c r="F6" i="13"/>
  <c r="G6" i="13"/>
  <c r="L194" i="1"/>
  <c r="C15" i="10" s="1"/>
  <c r="L212" i="1"/>
  <c r="L230" i="1"/>
  <c r="F7" i="13"/>
  <c r="G7" i="13"/>
  <c r="L195" i="1"/>
  <c r="L213" i="1"/>
  <c r="D7" i="13" s="1"/>
  <c r="C7" i="13" s="1"/>
  <c r="L231" i="1"/>
  <c r="L239" i="1" s="1"/>
  <c r="F12" i="13"/>
  <c r="D12" i="13" s="1"/>
  <c r="C12" i="13" s="1"/>
  <c r="G12" i="13"/>
  <c r="L197" i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L218" i="1"/>
  <c r="L236" i="1"/>
  <c r="H652" i="1" s="1"/>
  <c r="F17" i="13"/>
  <c r="G17" i="13"/>
  <c r="L243" i="1"/>
  <c r="C24" i="10" s="1"/>
  <c r="D17" i="13"/>
  <c r="C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J282" i="1"/>
  <c r="J301" i="1"/>
  <c r="F31" i="13" s="1"/>
  <c r="J320" i="1"/>
  <c r="K282" i="1"/>
  <c r="K301" i="1"/>
  <c r="K330" i="1" s="1"/>
  <c r="K344" i="1" s="1"/>
  <c r="K320" i="1"/>
  <c r="G31" i="13"/>
  <c r="L268" i="1"/>
  <c r="L269" i="1"/>
  <c r="L282" i="1" s="1"/>
  <c r="L270" i="1"/>
  <c r="L271" i="1"/>
  <c r="E104" i="2" s="1"/>
  <c r="L273" i="1"/>
  <c r="L274" i="1"/>
  <c r="L275" i="1"/>
  <c r="E112" i="2" s="1"/>
  <c r="L276" i="1"/>
  <c r="C18" i="10" s="1"/>
  <c r="L277" i="1"/>
  <c r="C19" i="10" s="1"/>
  <c r="L278" i="1"/>
  <c r="L279" i="1"/>
  <c r="L280" i="1"/>
  <c r="L287" i="1"/>
  <c r="E101" i="2" s="1"/>
  <c r="L288" i="1"/>
  <c r="L289" i="1"/>
  <c r="L290" i="1"/>
  <c r="L292" i="1"/>
  <c r="L293" i="1"/>
  <c r="E111" i="2" s="1"/>
  <c r="L294" i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E106" i="2"/>
  <c r="L326" i="1"/>
  <c r="L327" i="1"/>
  <c r="L252" i="1"/>
  <c r="C32" i="10" s="1"/>
  <c r="L253" i="1"/>
  <c r="C124" i="2" s="1"/>
  <c r="H25" i="13"/>
  <c r="H33" i="13" s="1"/>
  <c r="L333" i="1"/>
  <c r="L334" i="1"/>
  <c r="L247" i="1"/>
  <c r="F22" i="13" s="1"/>
  <c r="C22" i="13" s="1"/>
  <c r="L328" i="1"/>
  <c r="C11" i="13"/>
  <c r="C10" i="13"/>
  <c r="C9" i="13"/>
  <c r="L353" i="1"/>
  <c r="B4" i="12"/>
  <c r="B40" i="12"/>
  <c r="A40" i="12" s="1"/>
  <c r="C40" i="12"/>
  <c r="B27" i="12"/>
  <c r="B9" i="12"/>
  <c r="B13" i="12"/>
  <c r="C10" i="12" s="1"/>
  <c r="C13" i="12" s="1"/>
  <c r="A13" i="12" s="1"/>
  <c r="B18" i="12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J185" i="1" s="1"/>
  <c r="G51" i="2"/>
  <c r="G53" i="2"/>
  <c r="G54" i="2"/>
  <c r="F2" i="11"/>
  <c r="L603" i="1"/>
  <c r="H653" i="1" s="1"/>
  <c r="C40" i="10"/>
  <c r="F52" i="1"/>
  <c r="C48" i="2"/>
  <c r="G52" i="1"/>
  <c r="G104" i="1" s="1"/>
  <c r="H52" i="1"/>
  <c r="E48" i="2"/>
  <c r="I52" i="1"/>
  <c r="F71" i="1"/>
  <c r="F104" i="1" s="1"/>
  <c r="F86" i="1"/>
  <c r="C50" i="2"/>
  <c r="F103" i="1"/>
  <c r="G103" i="1"/>
  <c r="H71" i="1"/>
  <c r="E49" i="2" s="1"/>
  <c r="H86" i="1"/>
  <c r="I103" i="1"/>
  <c r="I104" i="1"/>
  <c r="J103" i="1"/>
  <c r="C37" i="10"/>
  <c r="F113" i="1"/>
  <c r="F132" i="1" s="1"/>
  <c r="C38" i="10" s="1"/>
  <c r="F128" i="1"/>
  <c r="G113" i="1"/>
  <c r="G128" i="1"/>
  <c r="G132" i="1"/>
  <c r="H113" i="1"/>
  <c r="H128" i="1"/>
  <c r="H132" i="1"/>
  <c r="I113" i="1"/>
  <c r="I128" i="1"/>
  <c r="I132" i="1"/>
  <c r="J113" i="1"/>
  <c r="J132" i="1" s="1"/>
  <c r="J128" i="1"/>
  <c r="F139" i="1"/>
  <c r="F154" i="1"/>
  <c r="F161" i="1"/>
  <c r="G139" i="1"/>
  <c r="G154" i="1"/>
  <c r="G161" i="1"/>
  <c r="H139" i="1"/>
  <c r="H154" i="1"/>
  <c r="H161" i="1"/>
  <c r="I139" i="1"/>
  <c r="F77" i="2" s="1"/>
  <c r="F83" i="2" s="1"/>
  <c r="I154" i="1"/>
  <c r="C10" i="10"/>
  <c r="C21" i="10"/>
  <c r="L242" i="1"/>
  <c r="L324" i="1"/>
  <c r="C23" i="10" s="1"/>
  <c r="L246" i="1"/>
  <c r="C116" i="2" s="1"/>
  <c r="C25" i="10"/>
  <c r="L260" i="1"/>
  <c r="L261" i="1"/>
  <c r="L341" i="1"/>
  <c r="L342" i="1"/>
  <c r="E135" i="2" s="1"/>
  <c r="I655" i="1"/>
  <c r="I660" i="1"/>
  <c r="G652" i="1"/>
  <c r="I652" i="1" s="1"/>
  <c r="I659" i="1"/>
  <c r="C42" i="10"/>
  <c r="L366" i="1"/>
  <c r="L367" i="1"/>
  <c r="C29" i="10" s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/>
  <c r="L516" i="1"/>
  <c r="L519" i="1" s="1"/>
  <c r="L517" i="1"/>
  <c r="G540" i="1"/>
  <c r="L518" i="1"/>
  <c r="G541" i="1"/>
  <c r="L521" i="1"/>
  <c r="L524" i="1" s="1"/>
  <c r="L522" i="1"/>
  <c r="H540" i="1"/>
  <c r="L523" i="1"/>
  <c r="H541" i="1"/>
  <c r="L531" i="1"/>
  <c r="J539" i="1" s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C123" i="2"/>
  <c r="A1" i="2"/>
  <c r="A2" i="2"/>
  <c r="C9" i="2"/>
  <c r="D9" i="2"/>
  <c r="E9" i="2"/>
  <c r="E10" i="2"/>
  <c r="E12" i="2"/>
  <c r="E13" i="2"/>
  <c r="E14" i="2"/>
  <c r="E16" i="2"/>
  <c r="E17" i="2"/>
  <c r="E18" i="2"/>
  <c r="E19" i="2"/>
  <c r="F9" i="2"/>
  <c r="F19" i="2" s="1"/>
  <c r="I431" i="1"/>
  <c r="J9" i="1" s="1"/>
  <c r="G10" i="2"/>
  <c r="G17" i="2"/>
  <c r="C10" i="2"/>
  <c r="C19" i="2" s="1"/>
  <c r="D10" i="2"/>
  <c r="D19" i="2" s="1"/>
  <c r="F10" i="2"/>
  <c r="I432" i="1"/>
  <c r="J10" i="1"/>
  <c r="C11" i="2"/>
  <c r="C12" i="2"/>
  <c r="D12" i="2"/>
  <c r="F12" i="2"/>
  <c r="F13" i="2"/>
  <c r="F14" i="2"/>
  <c r="F15" i="2"/>
  <c r="F16" i="2"/>
  <c r="F17" i="2"/>
  <c r="F18" i="2"/>
  <c r="I433" i="1"/>
  <c r="J12" i="1"/>
  <c r="G12" i="2" s="1"/>
  <c r="C13" i="2"/>
  <c r="D13" i="2"/>
  <c r="I434" i="1"/>
  <c r="J13" i="1" s="1"/>
  <c r="G13" i="2" s="1"/>
  <c r="C14" i="2"/>
  <c r="D14" i="2"/>
  <c r="I435" i="1"/>
  <c r="J14" i="1"/>
  <c r="G14" i="2" s="1"/>
  <c r="C16" i="2"/>
  <c r="D16" i="2"/>
  <c r="C17" i="2"/>
  <c r="D17" i="2"/>
  <c r="I436" i="1"/>
  <c r="J17" i="1"/>
  <c r="C18" i="2"/>
  <c r="D18" i="2"/>
  <c r="I437" i="1"/>
  <c r="J18" i="1"/>
  <c r="G18" i="2" s="1"/>
  <c r="C22" i="2"/>
  <c r="C32" i="2" s="1"/>
  <c r="D22" i="2"/>
  <c r="D32" i="2" s="1"/>
  <c r="E22" i="2"/>
  <c r="E32" i="2" s="1"/>
  <c r="F22" i="2"/>
  <c r="I440" i="1"/>
  <c r="J23" i="1"/>
  <c r="G22" i="2" s="1"/>
  <c r="C23" i="2"/>
  <c r="D23" i="2"/>
  <c r="E23" i="2"/>
  <c r="F23" i="2"/>
  <c r="I441" i="1"/>
  <c r="I444" i="1" s="1"/>
  <c r="J24" i="1"/>
  <c r="G23" i="2"/>
  <c r="C24" i="2"/>
  <c r="D24" i="2"/>
  <c r="E25" i="2"/>
  <c r="E28" i="2"/>
  <c r="E29" i="2"/>
  <c r="E30" i="2"/>
  <c r="E31" i="2"/>
  <c r="F24" i="2"/>
  <c r="I442" i="1"/>
  <c r="J25" i="1"/>
  <c r="G24" i="2" s="1"/>
  <c r="C25" i="2"/>
  <c r="D25" i="2"/>
  <c r="F25" i="2"/>
  <c r="C26" i="2"/>
  <c r="F26" i="2"/>
  <c r="C27" i="2"/>
  <c r="F27" i="2"/>
  <c r="C28" i="2"/>
  <c r="D28" i="2"/>
  <c r="F28" i="2"/>
  <c r="F32" i="2" s="1"/>
  <c r="C29" i="2"/>
  <c r="D29" i="2"/>
  <c r="F29" i="2"/>
  <c r="C30" i="2"/>
  <c r="D30" i="2"/>
  <c r="D31" i="2"/>
  <c r="F30" i="2"/>
  <c r="C31" i="2"/>
  <c r="F31" i="2"/>
  <c r="I443" i="1"/>
  <c r="J32" i="1"/>
  <c r="G31" i="2"/>
  <c r="C34" i="2"/>
  <c r="D34" i="2"/>
  <c r="E34" i="2"/>
  <c r="F34" i="2"/>
  <c r="C35" i="2"/>
  <c r="D35" i="2"/>
  <c r="D42" i="2" s="1"/>
  <c r="D43" i="2" s="1"/>
  <c r="E35" i="2"/>
  <c r="F35" i="2"/>
  <c r="F42" i="2" s="1"/>
  <c r="C36" i="2"/>
  <c r="C42" i="2" s="1"/>
  <c r="D36" i="2"/>
  <c r="E36" i="2"/>
  <c r="E42" i="2" s="1"/>
  <c r="E43" i="2" s="1"/>
  <c r="F36" i="2"/>
  <c r="I446" i="1"/>
  <c r="J37" i="1"/>
  <c r="C37" i="2"/>
  <c r="D37" i="2"/>
  <c r="E37" i="2"/>
  <c r="F37" i="2"/>
  <c r="I447" i="1"/>
  <c r="J38" i="1" s="1"/>
  <c r="C38" i="2"/>
  <c r="D38" i="2"/>
  <c r="E38" i="2"/>
  <c r="F38" i="2"/>
  <c r="I448" i="1"/>
  <c r="J40" i="1"/>
  <c r="G39" i="2" s="1"/>
  <c r="C40" i="2"/>
  <c r="D40" i="2"/>
  <c r="E40" i="2"/>
  <c r="F40" i="2"/>
  <c r="I449" i="1"/>
  <c r="I450" i="1" s="1"/>
  <c r="J41" i="1"/>
  <c r="G40" i="2"/>
  <c r="C41" i="2"/>
  <c r="D41" i="2"/>
  <c r="E41" i="2"/>
  <c r="F41" i="2"/>
  <c r="F48" i="2"/>
  <c r="F55" i="2" s="1"/>
  <c r="F96" i="2" s="1"/>
  <c r="C49" i="2"/>
  <c r="C54" i="2" s="1"/>
  <c r="C55" i="2" s="1"/>
  <c r="E50" i="2"/>
  <c r="C51" i="2"/>
  <c r="D51" i="2"/>
  <c r="D54" i="2" s="1"/>
  <c r="F51" i="2"/>
  <c r="F53" i="2"/>
  <c r="F54" i="2"/>
  <c r="D52" i="2"/>
  <c r="C53" i="2"/>
  <c r="D53" i="2"/>
  <c r="C58" i="2"/>
  <c r="C62" i="2" s="1"/>
  <c r="C59" i="2"/>
  <c r="C61" i="2"/>
  <c r="D61" i="2"/>
  <c r="E61" i="2"/>
  <c r="E62" i="2"/>
  <c r="F61" i="2"/>
  <c r="G61" i="2"/>
  <c r="G62" i="2"/>
  <c r="G69" i="2"/>
  <c r="G70" i="2" s="1"/>
  <c r="G73" i="2" s="1"/>
  <c r="D62" i="2"/>
  <c r="F62" i="2"/>
  <c r="F73" i="2" s="1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/>
  <c r="D73" i="2" s="1"/>
  <c r="D71" i="2"/>
  <c r="E69" i="2"/>
  <c r="F69" i="2"/>
  <c r="C71" i="2"/>
  <c r="E71" i="2"/>
  <c r="C72" i="2"/>
  <c r="E72" i="2"/>
  <c r="C77" i="2"/>
  <c r="C83" i="2" s="1"/>
  <c r="D77" i="2"/>
  <c r="E77" i="2"/>
  <c r="C79" i="2"/>
  <c r="E79" i="2"/>
  <c r="F79" i="2"/>
  <c r="C80" i="2"/>
  <c r="D80" i="2"/>
  <c r="E80" i="2"/>
  <c r="F80" i="2"/>
  <c r="C81" i="2"/>
  <c r="D81" i="2"/>
  <c r="D83" i="2" s="1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D90" i="2"/>
  <c r="D91" i="2"/>
  <c r="D92" i="2"/>
  <c r="D93" i="2"/>
  <c r="D94" i="2"/>
  <c r="E89" i="2"/>
  <c r="F89" i="2"/>
  <c r="G89" i="2"/>
  <c r="G95" i="2" s="1"/>
  <c r="C90" i="2"/>
  <c r="E90" i="2"/>
  <c r="G90" i="2"/>
  <c r="C91" i="2"/>
  <c r="E91" i="2"/>
  <c r="F91" i="2"/>
  <c r="C92" i="2"/>
  <c r="C95" i="2" s="1"/>
  <c r="E92" i="2"/>
  <c r="F92" i="2"/>
  <c r="C93" i="2"/>
  <c r="E93" i="2"/>
  <c r="F93" i="2"/>
  <c r="C94" i="2"/>
  <c r="E94" i="2"/>
  <c r="F94" i="2"/>
  <c r="C101" i="2"/>
  <c r="C104" i="2"/>
  <c r="C105" i="2"/>
  <c r="C106" i="2"/>
  <c r="D107" i="2"/>
  <c r="F107" i="2"/>
  <c r="G107" i="2"/>
  <c r="E115" i="2"/>
  <c r="E116" i="2"/>
  <c r="E117" i="2"/>
  <c r="F120" i="2"/>
  <c r="G120" i="2"/>
  <c r="C122" i="2"/>
  <c r="E122" i="2"/>
  <c r="E129" i="2"/>
  <c r="E134" i="2"/>
  <c r="D126" i="2"/>
  <c r="D136" i="2"/>
  <c r="F126" i="2"/>
  <c r="K411" i="1"/>
  <c r="K419" i="1"/>
  <c r="K425" i="1"/>
  <c r="K426" i="1"/>
  <c r="G126" i="2" s="1"/>
  <c r="G136" i="2" s="1"/>
  <c r="G137" i="2" s="1"/>
  <c r="L255" i="1"/>
  <c r="C127" i="2"/>
  <c r="L256" i="1"/>
  <c r="C128" i="2" s="1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D151" i="2"/>
  <c r="E151" i="2"/>
  <c r="F151" i="2"/>
  <c r="B152" i="2"/>
  <c r="C152" i="2"/>
  <c r="D152" i="2"/>
  <c r="E152" i="2"/>
  <c r="F152" i="2"/>
  <c r="F490" i="1"/>
  <c r="B153" i="2"/>
  <c r="H490" i="1"/>
  <c r="D153" i="2"/>
  <c r="I490" i="1"/>
  <c r="E153" i="2" s="1"/>
  <c r="J490" i="1"/>
  <c r="F153" i="2"/>
  <c r="D154" i="2"/>
  <c r="E154" i="2"/>
  <c r="F154" i="2"/>
  <c r="B155" i="2"/>
  <c r="C155" i="2"/>
  <c r="D155" i="2"/>
  <c r="E155" i="2"/>
  <c r="F155" i="2"/>
  <c r="H493" i="1"/>
  <c r="D156" i="2"/>
  <c r="I493" i="1"/>
  <c r="E156" i="2" s="1"/>
  <c r="J493" i="1"/>
  <c r="F156" i="2"/>
  <c r="F19" i="1"/>
  <c r="G607" i="1" s="1"/>
  <c r="G19" i="1"/>
  <c r="G608" i="1" s="1"/>
  <c r="J608" i="1" s="1"/>
  <c r="H19" i="1"/>
  <c r="I19" i="1"/>
  <c r="G610" i="1" s="1"/>
  <c r="F33" i="1"/>
  <c r="F44" i="1"/>
  <c r="H607" i="1" s="1"/>
  <c r="G33" i="1"/>
  <c r="G44" i="1" s="1"/>
  <c r="H608" i="1" s="1"/>
  <c r="I33" i="1"/>
  <c r="F43" i="1"/>
  <c r="G43" i="1"/>
  <c r="H43" i="1"/>
  <c r="I43" i="1"/>
  <c r="G615" i="1" s="1"/>
  <c r="F169" i="1"/>
  <c r="I169" i="1"/>
  <c r="I184" i="1" s="1"/>
  <c r="F175" i="1"/>
  <c r="F184" i="1" s="1"/>
  <c r="G175" i="1"/>
  <c r="G184" i="1" s="1"/>
  <c r="H175" i="1"/>
  <c r="I175" i="1"/>
  <c r="J175" i="1"/>
  <c r="F180" i="1"/>
  <c r="G180" i="1"/>
  <c r="H180" i="1"/>
  <c r="I180" i="1"/>
  <c r="H184" i="1"/>
  <c r="J184" i="1"/>
  <c r="F203" i="1"/>
  <c r="F249" i="1" s="1"/>
  <c r="F263" i="1" s="1"/>
  <c r="G203" i="1"/>
  <c r="H203" i="1"/>
  <c r="I203" i="1"/>
  <c r="I249" i="1" s="1"/>
  <c r="I263" i="1" s="1"/>
  <c r="J203" i="1"/>
  <c r="K203" i="1"/>
  <c r="F221" i="1"/>
  <c r="G221" i="1"/>
  <c r="G249" i="1" s="1"/>
  <c r="G263" i="1" s="1"/>
  <c r="H221" i="1"/>
  <c r="I221" i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H354" i="1"/>
  <c r="I354" i="1"/>
  <c r="G624" i="1" s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J633" i="1" s="1"/>
  <c r="G399" i="1"/>
  <c r="H399" i="1"/>
  <c r="I399" i="1"/>
  <c r="G400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J426" i="1" s="1"/>
  <c r="G426" i="1"/>
  <c r="H426" i="1"/>
  <c r="I426" i="1"/>
  <c r="F438" i="1"/>
  <c r="G438" i="1"/>
  <c r="G630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F460" i="1"/>
  <c r="G460" i="1"/>
  <c r="H460" i="1"/>
  <c r="I460" i="1"/>
  <c r="J460" i="1"/>
  <c r="F464" i="1"/>
  <c r="F466" i="1"/>
  <c r="H612" i="1" s="1"/>
  <c r="G464" i="1"/>
  <c r="G466" i="1" s="1"/>
  <c r="H613" i="1" s="1"/>
  <c r="J613" i="1" s="1"/>
  <c r="H464" i="1"/>
  <c r="H466" i="1" s="1"/>
  <c r="H614" i="1" s="1"/>
  <c r="J614" i="1" s="1"/>
  <c r="I464" i="1"/>
  <c r="I466" i="1" s="1"/>
  <c r="H615" i="1" s="1"/>
  <c r="J464" i="1"/>
  <c r="J466" i="1" s="1"/>
  <c r="H616" i="1" s="1"/>
  <c r="K485" i="1"/>
  <c r="K486" i="1"/>
  <c r="K487" i="1"/>
  <c r="K489" i="1"/>
  <c r="K492" i="1"/>
  <c r="F507" i="1"/>
  <c r="G507" i="1"/>
  <c r="H507" i="1"/>
  <c r="I507" i="1"/>
  <c r="F514" i="1"/>
  <c r="G514" i="1"/>
  <c r="H514" i="1"/>
  <c r="K514" i="1"/>
  <c r="K535" i="1" s="1"/>
  <c r="F519" i="1"/>
  <c r="G519" i="1"/>
  <c r="H519" i="1"/>
  <c r="H535" i="1" s="1"/>
  <c r="I519" i="1"/>
  <c r="J519" i="1"/>
  <c r="K519" i="1"/>
  <c r="F524" i="1"/>
  <c r="F535" i="1"/>
  <c r="G524" i="1"/>
  <c r="G535" i="1" s="1"/>
  <c r="H524" i="1"/>
  <c r="I524" i="1"/>
  <c r="J524" i="1"/>
  <c r="K524" i="1"/>
  <c r="F529" i="1"/>
  <c r="G529" i="1"/>
  <c r="I529" i="1"/>
  <c r="J529" i="1"/>
  <c r="K529" i="1"/>
  <c r="F534" i="1"/>
  <c r="G534" i="1"/>
  <c r="H534" i="1"/>
  <c r="I534" i="1"/>
  <c r="J534" i="1"/>
  <c r="K534" i="1"/>
  <c r="L547" i="1"/>
  <c r="L548" i="1"/>
  <c r="L550" i="1" s="1"/>
  <c r="L549" i="1"/>
  <c r="F550" i="1"/>
  <c r="F561" i="1" s="1"/>
  <c r="G550" i="1"/>
  <c r="H550" i="1"/>
  <c r="I550" i="1"/>
  <c r="J550" i="1"/>
  <c r="J561" i="1" s="1"/>
  <c r="K550" i="1"/>
  <c r="L552" i="1"/>
  <c r="L555" i="1" s="1"/>
  <c r="L553" i="1"/>
  <c r="L554" i="1"/>
  <c r="F555" i="1"/>
  <c r="G555" i="1"/>
  <c r="G561" i="1" s="1"/>
  <c r="H555" i="1"/>
  <c r="H561" i="1" s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4" i="1"/>
  <c r="K585" i="1"/>
  <c r="K586" i="1"/>
  <c r="K587" i="1"/>
  <c r="H588" i="1"/>
  <c r="H639" i="1"/>
  <c r="I588" i="1"/>
  <c r="K592" i="1"/>
  <c r="K595" i="1" s="1"/>
  <c r="G638" i="1" s="1"/>
  <c r="K593" i="1"/>
  <c r="K594" i="1"/>
  <c r="H595" i="1"/>
  <c r="I595" i="1"/>
  <c r="J595" i="1"/>
  <c r="G604" i="1"/>
  <c r="H604" i="1"/>
  <c r="I604" i="1"/>
  <c r="J604" i="1"/>
  <c r="K604" i="1"/>
  <c r="G609" i="1"/>
  <c r="G612" i="1"/>
  <c r="G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1" i="1"/>
  <c r="H631" i="1"/>
  <c r="J631" i="1"/>
  <c r="G633" i="1"/>
  <c r="G634" i="1"/>
  <c r="J634" i="1" s="1"/>
  <c r="G635" i="1"/>
  <c r="J635" i="1" s="1"/>
  <c r="H635" i="1"/>
  <c r="G639" i="1"/>
  <c r="J639" i="1" s="1"/>
  <c r="G640" i="1"/>
  <c r="H640" i="1"/>
  <c r="G641" i="1"/>
  <c r="J641" i="1" s="1"/>
  <c r="G642" i="1"/>
  <c r="J642" i="1" s="1"/>
  <c r="H642" i="1"/>
  <c r="G643" i="1"/>
  <c r="H643" i="1"/>
  <c r="J643" i="1"/>
  <c r="G644" i="1"/>
  <c r="H644" i="1"/>
  <c r="J644" i="1"/>
  <c r="G645" i="1"/>
  <c r="H645" i="1"/>
  <c r="J645" i="1"/>
  <c r="E103" i="2"/>
  <c r="E83" i="2"/>
  <c r="F122" i="2"/>
  <c r="F136" i="2" s="1"/>
  <c r="F137" i="2" s="1"/>
  <c r="L374" i="1"/>
  <c r="G626" i="1" s="1"/>
  <c r="J626" i="1" s="1"/>
  <c r="G155" i="2"/>
  <c r="F70" i="2"/>
  <c r="J330" i="1"/>
  <c r="J344" i="1"/>
  <c r="G36" i="2"/>
  <c r="H249" i="1"/>
  <c r="H263" i="1" s="1"/>
  <c r="C26" i="10"/>
  <c r="H637" i="1"/>
  <c r="C113" i="2"/>
  <c r="C112" i="2"/>
  <c r="C111" i="2"/>
  <c r="E102" i="2"/>
  <c r="F652" i="1"/>
  <c r="C16" i="10"/>
  <c r="C13" i="10"/>
  <c r="D15" i="13"/>
  <c r="C15" i="13"/>
  <c r="J640" i="1"/>
  <c r="G150" i="2"/>
  <c r="G152" i="2"/>
  <c r="G9" i="2" l="1"/>
  <c r="G19" i="2" s="1"/>
  <c r="J19" i="1"/>
  <c r="G611" i="1" s="1"/>
  <c r="C96" i="2"/>
  <c r="I451" i="1"/>
  <c r="H632" i="1" s="1"/>
  <c r="F539" i="1"/>
  <c r="L514" i="1"/>
  <c r="K541" i="1"/>
  <c r="D119" i="2"/>
  <c r="D120" i="2" s="1"/>
  <c r="D137" i="2" s="1"/>
  <c r="F651" i="1"/>
  <c r="L354" i="1"/>
  <c r="H651" i="1"/>
  <c r="C29" i="12"/>
  <c r="K540" i="1"/>
  <c r="G493" i="1"/>
  <c r="C156" i="2" s="1"/>
  <c r="C154" i="2"/>
  <c r="G154" i="2" s="1"/>
  <c r="K491" i="1"/>
  <c r="J607" i="1"/>
  <c r="C39" i="10"/>
  <c r="J263" i="1"/>
  <c r="H638" i="1"/>
  <c r="J615" i="1"/>
  <c r="C43" i="2"/>
  <c r="G32" i="2"/>
  <c r="J630" i="1"/>
  <c r="L426" i="1"/>
  <c r="G628" i="1" s="1"/>
  <c r="J628" i="1" s="1"/>
  <c r="J624" i="1"/>
  <c r="E136" i="2"/>
  <c r="F43" i="2"/>
  <c r="F185" i="1"/>
  <c r="G617" i="1" s="1"/>
  <c r="J617" i="1" s="1"/>
  <c r="J43" i="1"/>
  <c r="G37" i="2"/>
  <c r="G42" i="2" s="1"/>
  <c r="G43" i="2" s="1"/>
  <c r="G636" i="1"/>
  <c r="G621" i="1"/>
  <c r="J621" i="1" s="1"/>
  <c r="C130" i="2"/>
  <c r="C133" i="2" s="1"/>
  <c r="L400" i="1"/>
  <c r="F33" i="13"/>
  <c r="F650" i="1"/>
  <c r="J612" i="1"/>
  <c r="J638" i="1"/>
  <c r="L561" i="1"/>
  <c r="I185" i="1"/>
  <c r="G620" i="1" s="1"/>
  <c r="J620" i="1" s="1"/>
  <c r="H104" i="1"/>
  <c r="H185" i="1" s="1"/>
  <c r="G619" i="1" s="1"/>
  <c r="J619" i="1" s="1"/>
  <c r="G185" i="1"/>
  <c r="G618" i="1" s="1"/>
  <c r="J618" i="1" s="1"/>
  <c r="H650" i="1"/>
  <c r="C19" i="12"/>
  <c r="H33" i="1"/>
  <c r="H44" i="1" s="1"/>
  <c r="H609" i="1" s="1"/>
  <c r="J609" i="1" s="1"/>
  <c r="D5" i="13"/>
  <c r="F493" i="1"/>
  <c r="I161" i="1"/>
  <c r="E33" i="13"/>
  <c r="D35" i="13" s="1"/>
  <c r="G354" i="1"/>
  <c r="C110" i="2"/>
  <c r="C120" i="2" s="1"/>
  <c r="J33" i="1"/>
  <c r="E51" i="2"/>
  <c r="E54" i="2" s="1"/>
  <c r="E55" i="2" s="1"/>
  <c r="E96" i="2" s="1"/>
  <c r="L526" i="1"/>
  <c r="G539" i="1"/>
  <c r="G542" i="1" s="1"/>
  <c r="G48" i="2"/>
  <c r="G55" i="2" s="1"/>
  <c r="G96" i="2" s="1"/>
  <c r="D6" i="13"/>
  <c r="C6" i="13" s="1"/>
  <c r="C25" i="13"/>
  <c r="C20" i="10"/>
  <c r="C115" i="2"/>
  <c r="K583" i="1"/>
  <c r="K588" i="1" s="1"/>
  <c r="G637" i="1" s="1"/>
  <c r="J637" i="1" s="1"/>
  <c r="K488" i="1"/>
  <c r="I438" i="1"/>
  <c r="G632" i="1" s="1"/>
  <c r="J632" i="1" s="1"/>
  <c r="C103" i="2"/>
  <c r="G29" i="13"/>
  <c r="G33" i="13" s="1"/>
  <c r="L601" i="1"/>
  <c r="B22" i="12"/>
  <c r="C21" i="12" s="1"/>
  <c r="L221" i="1"/>
  <c r="G650" i="1" s="1"/>
  <c r="G654" i="1" s="1"/>
  <c r="E105" i="2"/>
  <c r="E107" i="2" s="1"/>
  <c r="I44" i="1"/>
  <c r="H610" i="1" s="1"/>
  <c r="J610" i="1" s="1"/>
  <c r="G490" i="1"/>
  <c r="E114" i="2"/>
  <c r="C102" i="2"/>
  <c r="C107" i="2" s="1"/>
  <c r="H539" i="1"/>
  <c r="H542" i="1" s="1"/>
  <c r="C35" i="10"/>
  <c r="E113" i="2"/>
  <c r="D48" i="2"/>
  <c r="D55" i="2" s="1"/>
  <c r="D96" i="2" s="1"/>
  <c r="I514" i="1"/>
  <c r="I535" i="1" s="1"/>
  <c r="F361" i="1"/>
  <c r="E126" i="2"/>
  <c r="L301" i="1"/>
  <c r="D31" i="13" s="1"/>
  <c r="C31" i="13" s="1"/>
  <c r="C28" i="12"/>
  <c r="C31" i="12" s="1"/>
  <c r="A31" i="12" s="1"/>
  <c r="E110" i="2"/>
  <c r="K354" i="1"/>
  <c r="F653" i="1" l="1"/>
  <c r="I653" i="1" s="1"/>
  <c r="L604" i="1"/>
  <c r="I539" i="1"/>
  <c r="I542" i="1" s="1"/>
  <c r="L529" i="1"/>
  <c r="L535" i="1" s="1"/>
  <c r="L330" i="1"/>
  <c r="L344" i="1" s="1"/>
  <c r="G623" i="1" s="1"/>
  <c r="J623" i="1" s="1"/>
  <c r="F654" i="1"/>
  <c r="I650" i="1"/>
  <c r="I654" i="1" s="1"/>
  <c r="D29" i="13"/>
  <c r="C29" i="13" s="1"/>
  <c r="F542" i="1"/>
  <c r="K539" i="1"/>
  <c r="K542" i="1" s="1"/>
  <c r="C136" i="2"/>
  <c r="C137" i="2" s="1"/>
  <c r="E120" i="2"/>
  <c r="E137" i="2" s="1"/>
  <c r="C153" i="2"/>
  <c r="G153" i="2" s="1"/>
  <c r="K490" i="1"/>
  <c r="B156" i="2"/>
  <c r="G156" i="2" s="1"/>
  <c r="K493" i="1"/>
  <c r="C20" i="12"/>
  <c r="C5" i="13"/>
  <c r="G616" i="1"/>
  <c r="J616" i="1" s="1"/>
  <c r="J44" i="1"/>
  <c r="H611" i="1" s="1"/>
  <c r="J611" i="1" s="1"/>
  <c r="G627" i="1"/>
  <c r="J627" i="1" s="1"/>
  <c r="H636" i="1"/>
  <c r="J636" i="1" s="1"/>
  <c r="G662" i="1"/>
  <c r="C5" i="10" s="1"/>
  <c r="G657" i="1"/>
  <c r="C22" i="12"/>
  <c r="A22" i="12" s="1"/>
  <c r="G625" i="1"/>
  <c r="J625" i="1" s="1"/>
  <c r="C27" i="10"/>
  <c r="C41" i="10"/>
  <c r="D35" i="10" s="1"/>
  <c r="C36" i="10"/>
  <c r="H654" i="1"/>
  <c r="L249" i="1"/>
  <c r="L263" i="1" s="1"/>
  <c r="G622" i="1" s="1"/>
  <c r="J622" i="1" s="1"/>
  <c r="I651" i="1"/>
  <c r="C28" i="10" l="1"/>
  <c r="F657" i="1"/>
  <c r="F662" i="1"/>
  <c r="C4" i="10" s="1"/>
  <c r="D39" i="10"/>
  <c r="H662" i="1"/>
  <c r="C6" i="10" s="1"/>
  <c r="H657" i="1"/>
  <c r="I657" i="1"/>
  <c r="I662" i="1"/>
  <c r="C7" i="10" s="1"/>
  <c r="D36" i="10"/>
  <c r="D41" i="10" s="1"/>
  <c r="H646" i="1"/>
  <c r="D40" i="10"/>
  <c r="D37" i="10"/>
  <c r="D38" i="10"/>
  <c r="D33" i="13"/>
  <c r="D36" i="13" s="1"/>
  <c r="D13" i="10" l="1"/>
  <c r="D11" i="10"/>
  <c r="D21" i="10"/>
  <c r="D10" i="10"/>
  <c r="D28" i="10" s="1"/>
  <c r="C30" i="10"/>
  <c r="D26" i="10"/>
  <c r="D22" i="10"/>
  <c r="D19" i="10"/>
  <c r="D25" i="10"/>
  <c r="D17" i="10"/>
  <c r="D15" i="10"/>
  <c r="D18" i="10"/>
  <c r="D16" i="10"/>
  <c r="D12" i="10"/>
  <c r="D23" i="10"/>
  <c r="D24" i="10"/>
  <c r="D20" i="10"/>
  <c r="D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DB8E0E5-28BE-4FD9-BB1D-55337DF0A56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74D2E88-1DFC-4FEE-9C2E-E918338C489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06E0ECF-7B48-4D17-BA98-2E70683064C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D00947D-CF16-4368-B3E8-2F8CAB772CB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E758360-9374-4781-9BE8-C3B372E0E6C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2071A36-FCAD-4AEE-A110-D7230D5EB44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5D5271C-4874-496E-95E5-3A206162F7E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0E1BD83-4CF2-43CA-BE5D-1A6A2C9AF48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FB6AC81-F437-4291-8AF5-34477FC4A55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77F2916-02A6-49B4-87FB-D7B12B577CA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6A8B195-428B-432E-9097-47273611651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10029E2-F3DA-4562-A81F-DEF3815CEC9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<sst xmlns="http://schemas.openxmlformats.org/spreadsheetml/2006/main" count="3864" uniqueCount="901">
  <si>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</si>
  <si>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</si>
  <si>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</si>
  <si>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</si>
  <si>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</si>
  <si>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</si>
  <si>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</si>
  <si>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</si>
  <si>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</si>
  <si>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</si>
  <si>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</si>
  <si>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</si>
  <si>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</si>
  <si>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</si>
  <si>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</si>
  <si>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</si>
  <si>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</si>
  <si>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</si>
  <si>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</si>
  <si>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</si>
  <si>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</si>
  <si>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</si>
  <si>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</si>
  <si>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</si>
  <si>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</si>
  <si>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</si>
  <si>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</si>
  <si>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</si>
  <si>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</si>
  <si>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</si>
  <si>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</si>
  <si>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</si>
  <si>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</si>
  <si>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</si>
  <si>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</si>
  <si>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</si>
  <si>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</si>
  <si>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</si>
  <si>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</si>
  <si>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</si>
  <si>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</si>
  <si>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</si>
  <si>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</si>
  <si>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</si>
  <si>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</si>
  <si>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</si>
  <si>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</si>
  <si>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</si>
  <si>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</si>
  <si>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</si>
  <si>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</si>
  <si>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</si>
  <si>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</si>
  <si>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</si>
  <si>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</si>
  <si>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</si>
  <si>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</si>
  <si>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</si>
  <si>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</si>
  <si>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</si>
  <si>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</si>
  <si>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</si>
  <si>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</si>
  <si>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</si>
  <si>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</si>
  <si>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</si>
  <si>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</si>
  <si>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</si>
  <si>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</si>
  <si>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</si>
  <si>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</si>
  <si>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</si>
  <si>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</si>
  <si>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</si>
  <si>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</si>
  <si>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</si>
  <si>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</si>
  <si>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</si>
  <si>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</si>
  <si>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</si>
  <si>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</si>
  <si>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</si>
  <si>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</si>
  <si>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</si>
  <si>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</si>
  <si>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</si>
  <si>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</si>
  <si>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</si>
  <si>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</si>
  <si>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</si>
  <si>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</si>
  <si>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</si>
  <si>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</si>
  <si>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</si>
  <si>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</si>
  <si>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</si>
  <si>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</si>
  <si>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</si>
  <si>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</si>
  <si>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</si>
  <si>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</si>
  <si>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</si>
  <si>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</si>
  <si>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</si>
  <si>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</si>
  <si>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</si>
  <si>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</si>
  <si>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</si>
  <si>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</si>
  <si>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</si>
  <si>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</si>
  <si>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</si>
  <si>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</si>
  <si>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</si>
  <si>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</si>
  <si>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</si>
  <si>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</si>
  <si>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</si>
  <si>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</si>
  <si>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</si>
  <si>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</si>
  <si>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</si>
  <si>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</si>
  <si>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</si>
  <si>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</si>
  <si>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</si>
  <si>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</si>
  <si>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</si>
  <si>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</si>
  <si>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</si>
  <si>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</si>
  <si>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</si>
  <si>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</si>
  <si>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</si>
  <si>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</si>
  <si>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</si>
  <si>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</si>
  <si>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</si>
  <si>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</si>
  <si>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</si>
  <si>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</si>
  <si>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</si>
  <si>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</si>
  <si>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</si>
  <si>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</si>
  <si>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</si>
  <si>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</si>
  <si>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</si>
  <si>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</si>
  <si>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</si>
  <si>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</si>
  <si>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</si>
  <si>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</si>
  <si>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</si>
  <si>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</si>
  <si>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</si>
  <si>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</si>
  <si>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</si>
  <si>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</si>
  <si>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</si>
  <si>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</si>
  <si>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</si>
  <si>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</si>
  <si>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</si>
  <si>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</si>
  <si>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</si>
  <si>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</si>
  <si>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</si>
  <si>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</si>
  <si>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</si>
  <si>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</si>
  <si>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</si>
  <si>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</si>
  <si>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</si>
  <si>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</si>
  <si>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</si>
  <si>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</si>
  <si>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</si>
  <si>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</si>
  <si>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</si>
  <si>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</si>
  <si>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</si>
  <si>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</si>
  <si>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</si>
  <si>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</si>
  <si>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</si>
  <si>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</si>
  <si>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</si>
  <si>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</si>
  <si>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</si>
  <si>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</si>
  <si>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</si>
  <si>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</si>
  <si>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</si>
  <si>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</si>
  <si>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</si>
  <si>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</si>
  <si>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</si>
  <si>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</si>
  <si>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</si>
  <si>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</si>
  <si>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</si>
  <si>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</si>
  <si>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</si>
  <si>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</si>
  <si>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</si>
  <si>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</si>
  <si>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</si>
  <si>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</si>
  <si>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</si>
  <si>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</si>
  <si>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</si>
  <si>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</si>
  <si>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</si>
  <si>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</si>
  <si>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</si>
  <si>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</si>
  <si>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</si>
  <si>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</si>
  <si>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</si>
  <si>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</si>
  <si>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</si>
  <si>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</si>
  <si>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</si>
  <si>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</si>
  <si>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</si>
  <si>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</si>
  <si>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</si>
  <si>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</si>
  <si>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</si>
  <si>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</si>
  <si>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</si>
  <si>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</si>
  <si>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</si>
  <si>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</si>
  <si>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</si>
  <si>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</si>
  <si>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</si>
  <si>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</si>
  <si>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</si>
  <si>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</si>
  <si>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</si>
  <si>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</si>
  <si>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</si>
  <si>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</si>
  <si>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</si>
  <si>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</si>
  <si>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</si>
  <si>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</si>
  <si>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</si>
  <si>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</si>
  <si>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</si>
  <si>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</si>
  <si>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</si>
  <si>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</si>
  <si>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</si>
  <si>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</si>
  <si>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</si>
  <si>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</si>
  <si>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</si>
  <si>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</si>
  <si>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</si>
  <si>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</si>
  <si>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</si>
  <si>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</si>
  <si>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</si>
  <si>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</si>
  <si>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</si>
  <si>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</si>
  <si>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</si>
  <si>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</si>
  <si>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</si>
  <si>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</si>
  <si>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</si>
  <si>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</si>
  <si>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</si>
  <si>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</si>
  <si>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</si>
  <si>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</si>
  <si>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</si>
  <si>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</si>
  <si>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</si>
  <si>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</si>
  <si>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</si>
  <si>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</si>
  <si>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</si>
  <si>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</si>
  <si>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</si>
  <si>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</si>
  <si>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</si>
  <si>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</si>
  <si>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</si>
  <si>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</si>
  <si>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</si>
  <si>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</si>
  <si>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</si>
  <si>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</si>
  <si>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</si>
  <si>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</si>
  <si>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</si>
  <si>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</si>
  <si>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</si>
  <si>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</si>
  <si>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</si>
  <si>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</si>
  <si>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</si>
  <si>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</si>
  <si>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</si>
  <si>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</si>
  <si>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</si>
  <si>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</si>
  <si>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</si>
  <si>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</si>
  <si>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</si>
  <si>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</si>
  <si>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</si>
  <si>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</si>
  <si>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</si>
  <si>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</si>
  <si>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</si>
  <si>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</si>
  <si>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</si>
  <si>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</si>
  <si>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</si>
  <si>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</si>
  <si>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</si>
  <si>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</si>
  <si>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</si>
  <si>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</si>
  <si>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</si>
  <si>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</si>
  <si>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</si>
  <si>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</si>
  <si>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</si>
  <si>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</si>
  <si>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</si>
  <si>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</si>
  <si>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</si>
  <si>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</si>
  <si>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</si>
  <si>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</si>
  <si>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</si>
  <si>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</si>
  <si>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</si>
  <si>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</si>
  <si>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</si>
  <si>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</si>
  <si>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</si>
  <si>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</si>
  <si>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</si>
  <si>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</si>
  <si>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</si>
  <si>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</si>
  <si>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</si>
  <si>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</si>
  <si>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</si>
  <si>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</si>
  <si>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</si>
  <si>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</si>
  <si>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</si>
  <si>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</si>
  <si>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</si>
  <si>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</si>
  <si>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</si>
  <si>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</si>
  <si>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</si>
  <si>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</si>
  <si>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</si>
  <si>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</si>
  <si>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</si>
  <si>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</si>
  <si>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</si>
  <si>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</si>
  <si>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</si>
  <si>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</si>
  <si>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</si>
  <si>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</si>
  <si>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</si>
  <si>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</si>
  <si>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</si>
  <si>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</si>
  <si>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</si>
  <si>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</si>
  <si>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</si>
  <si>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</si>
  <si>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</si>
  <si>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</si>
  <si>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</si>
  <si>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</si>
  <si>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</si>
  <si>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</si>
  <si>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</si>
  <si>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</si>
  <si>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</si>
  <si>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</si>
  <si>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</si>
  <si>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</si>
  <si>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</si>
  <si>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</si>
  <si>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</si>
  <si>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</si>
  <si>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</si>
  <si>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</si>
  <si>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</si>
  <si>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</si>
  <si>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</si>
  <si>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</si>
  <si>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</si>
  <si>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</si>
  <si>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</si>
  <si>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</si>
  <si>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</si>
  <si>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</si>
  <si>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</si>
  <si>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</si>
  <si>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</si>
  <si>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</si>
  <si>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</si>
  <si>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</si>
  <si>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</si>
  <si>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</si>
  <si>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</si>
  <si>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</si>
  <si>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</si>
  <si>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</si>
  <si>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</si>
  <si>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</si>
  <si>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</si>
  <si>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</si>
  <si>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</si>
  <si>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</si>
  <si>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</si>
  <si>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</si>
  <si>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</si>
  <si>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</si>
  <si>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</si>
  <si>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</si>
  <si>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</si>
  <si>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</si>
  <si>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</si>
  <si>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</si>
  <si>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</si>
  <si>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</si>
  <si>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</si>
  <si>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</si>
  <si>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</si>
  <si>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</si>
  <si>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</si>
  <si>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</si>
  <si>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</si>
  <si>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</si>
  <si>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</si>
  <si>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</si>
  <si>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</si>
  <si>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</si>
  <si>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</si>
  <si>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</si>
  <si>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</si>
  <si>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</si>
  <si>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</si>
  <si>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</si>
  <si>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</si>
  <si>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</si>
  <si>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</si>
  <si>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</si>
  <si>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</si>
  <si>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</si>
  <si>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</si>
  <si>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</si>
  <si>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</si>
  <si>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</si>
  <si>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</si>
  <si>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</si>
  <si>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</si>
  <si>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</si>
  <si>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</si>
  <si>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</si>
  <si>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</si>
  <si>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</si>
  <si>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</si>
  <si>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</si>
  <si>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</si>
  <si>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</si>
  <si>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</si>
  <si>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</si>
  <si>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</si>
  <si>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</si>
  <si>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</si>
  <si>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</si>
  <si>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</si>
  <si>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</si>
  <si>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</si>
  <si>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</si>
  <si>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</si>
  <si>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</si>
  <si>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</si>
  <si>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</si>
  <si>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</si>
  <si>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</si>
  <si>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</si>
  <si>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</si>
  <si>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</si>
  <si>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</si>
  <si>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</si>
  <si>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</si>
  <si>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</si>
  <si>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</si>
  <si>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</si>
  <si>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</si>
  <si>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</si>
  <si>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</si>
  <si>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</si>
  <si>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</si>
  <si>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</si>
  <si>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</si>
  <si>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</si>
  <si>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</si>
  <si>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</si>
  <si>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</si>
  <si>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</si>
  <si>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</si>
  <si>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</si>
  <si>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</si>
  <si>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</si>
  <si>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</si>
  <si>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</si>
  <si>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</si>
  <si>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</si>
  <si>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</si>
  <si>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</si>
  <si>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</si>
  <si>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</si>
  <si>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</si>
  <si>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</si>
  <si>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</si>
  <si>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</si>
  <si>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</si>
  <si>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</si>
  <si>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</si>
  <si>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</si>
  <si>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</si>
  <si>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</si>
  <si>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</si>
  <si>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</si>
  <si>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</si>
  <si>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</si>
  <si>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</si>
  <si>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</si>
  <si>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</si>
  <si>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</si>
  <si>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</si>
  <si>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</si>
  <si>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</si>
  <si>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</si>
  <si>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</si>
  <si>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</si>
  <si>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</si>
  <si>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</si>
  <si>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</si>
  <si>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</si>
  <si>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</si>
  <si>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</si>
  <si>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</si>
  <si>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</si>
  <si>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</si>
  <si>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</si>
  <si>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</si>
  <si>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</si>
  <si>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</si>
  <si>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</si>
  <si>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</si>
  <si>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</si>
  <si>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</si>
  <si>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</si>
  <si>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</si>
  <si>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</si>
  <si>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</si>
  <si>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</si>
  <si>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</si>
  <si>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</si>
  <si>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</si>
  <si>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</si>
  <si>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</si>
  <si>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</si>
  <si>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</si>
  <si>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</si>
  <si>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</si>
  <si>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</si>
  <si>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</si>
  <si>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</si>
  <si>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</si>
  <si>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</si>
  <si>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</si>
  <si>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</si>
  <si>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</si>
  <si>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</si>
  <si>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</si>
  <si>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</si>
  <si>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</si>
  <si>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</si>
  <si>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</si>
  <si>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</si>
  <si>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</si>
  <si>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</si>
  <si>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</si>
  <si>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</si>
  <si>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</si>
  <si>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</si>
  <si>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</si>
  <si>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</si>
  <si>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</si>
  <si>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</si>
  <si>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</si>
  <si>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</si>
  <si>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</si>
  <si>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</si>
  <si>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</si>
  <si>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</si>
  <si>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</si>
  <si>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</si>
  <si>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</si>
  <si>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</si>
  <si>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</si>
  <si>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</si>
  <si>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</si>
  <si>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</si>
  <si>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</si>
  <si>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</si>
  <si>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</si>
  <si>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</si>
  <si>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</si>
  <si>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</si>
  <si>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</si>
  <si>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</si>
  <si>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</si>
  <si>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</si>
  <si>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</si>
  <si>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</si>
  <si>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</si>
  <si>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</si>
  <si>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</si>
  <si>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</si>
  <si>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</si>
  <si>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</si>
  <si>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</si>
  <si>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</si>
  <si>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</si>
  <si>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</si>
  <si>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</si>
  <si>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</si>
  <si>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</si>
  <si>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</si>
  <si>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</si>
  <si>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</si>
  <si>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</si>
  <si>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</si>
  <si>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</si>
  <si>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</si>
  <si>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</si>
  <si>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</si>
  <si>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</si>
  <si>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</si>
  <si>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</si>
  <si>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</si>
  <si>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</si>
  <si>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</si>
  <si>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</si>
  <si>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</si>
  <si>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</si>
  <si>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</si>
  <si>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</si>
  <si>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</si>
  <si>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</si>
  <si>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</si>
  <si>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</si>
  <si>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</si>
  <si>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</si>
  <si>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</si>
  <si>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</si>
  <si>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</si>
  <si>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</si>
  <si>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</si>
  <si>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</si>
  <si>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</si>
  <si>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</si>
  <si>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</si>
  <si>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</si>
  <si>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</si>
  <si>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</si>
  <si>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</si>
  <si>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</si>
  <si>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</si>
  <si>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</si>
  <si>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</si>
  <si>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</si>
  <si>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</si>
  <si>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</si>
  <si>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</si>
  <si>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</si>
  <si>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</si>
  <si>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</si>
  <si>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</si>
  <si>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</si>
  <si>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</si>
  <si>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</si>
  <si>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</si>
  <si>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</si>
  <si>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</si>
  <si>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</si>
  <si>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</si>
  <si>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</si>
  <si>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</si>
  <si>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</si>
  <si>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</si>
  <si>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</si>
  <si>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</si>
  <si>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</si>
  <si>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</si>
  <si>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</si>
  <si>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</si>
  <si>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</si>
  <si>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</si>
  <si>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</si>
  <si>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</si>
  <si>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</si>
  <si>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</si>
  <si>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</si>
  <si>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</si>
  <si>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</si>
  <si>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</si>
  <si>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</si>
  <si>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</si>
  <si>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</si>
  <si>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</si>
  <si>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</si>
  <si>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</si>
  <si>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</si>
  <si>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</si>
  <si>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</si>
  <si>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</si>
  <si>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</si>
  <si>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</si>
  <si>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</si>
  <si>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</si>
  <si>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</si>
  <si>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</si>
  <si>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</si>
  <si>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</si>
  <si>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</si>
  <si>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</si>
  <si>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</si>
  <si>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</si>
  <si>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</si>
  <si>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</si>
  <si>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</si>
  <si>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</si>
  <si>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</si>
  <si>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</si>
  <si>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</si>
  <si>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</si>
  <si>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</si>
  <si>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</si>
  <si>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</si>
  <si>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</si>
  <si>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</si>
  <si>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</si>
  <si>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</si>
  <si>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</si>
  <si>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</si>
  <si>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</si>
  <si>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</si>
  <si>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</si>
  <si>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</si>
  <si>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</si>
  <si>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</si>
  <si>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</si>
  <si>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</si>
  <si>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</si>
  <si>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</si>
  <si>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</si>
  <si>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</si>
  <si>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</si>
  <si>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</si>
  <si>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</si>
  <si>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</si>
  <si>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</si>
  <si>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</si>
  <si>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</si>
  <si>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</si>
  <si>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</si>
  <si>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</si>
  <si>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</si>
  <si>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</si>
  <si>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</si>
  <si>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</si>
  <si>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</si>
  <si>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</si>
  <si>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</si>
  <si>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</si>
  <si>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</si>
  <si>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</si>
  <si>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</si>
  <si>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</si>
  <si>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</si>
  <si>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</si>
  <si>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</si>
  <si>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</si>
  <si>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</si>
  <si>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</si>
  <si>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</si>
  <si>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</si>
  <si>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</si>
  <si>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</si>
  <si>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</si>
  <si>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</si>
  <si>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</si>
  <si>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</si>
  <si>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</si>
  <si>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</si>
  <si>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</si>
  <si>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</si>
  <si>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</si>
  <si>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</si>
  <si>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</si>
  <si>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</si>
  <si>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</si>
  <si>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</si>
  <si>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</si>
  <si>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</si>
  <si>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</si>
  <si>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</si>
  <si>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</si>
  <si>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</si>
  <si>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</si>
  <si>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</si>
  <si>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</si>
  <si>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</si>
  <si>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</si>
  <si>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</si>
  <si>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</si>
  <si>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</si>
  <si>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</si>
  <si>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</si>
  <si>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</si>
  <si>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</si>
  <si>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</si>
  <si>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</si>
  <si>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</si>
  <si>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</si>
  <si>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</si>
  <si>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</si>
  <si>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</si>
  <si>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</si>
  <si>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</si>
  <si>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</si>
  <si>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</si>
  <si>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</si>
  <si>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</si>
  <si>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</si>
  <si>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</si>
  <si>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</si>
  <si>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</si>
  <si>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</si>
  <si>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</si>
  <si>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</si>
  <si>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</si>
  <si>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</si>
  <si>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</si>
  <si>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</si>
  <si>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</si>
  <si>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</si>
  <si>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</si>
  <si>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</si>
  <si>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</si>
  <si>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</si>
  <si>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</si>
  <si>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</si>
  <si>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</si>
  <si>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</si>
  <si>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</si>
  <si>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</si>
  <si>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</si>
  <si>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</si>
  <si>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</si>
  <si>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</si>
  <si>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</si>
  <si>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</si>
  <si>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</si>
  <si>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</si>
  <si>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</si>
  <si>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</si>
  <si>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</si>
  <si>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</si>
  <si>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</si>
  <si>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10/10</t>
  </si>
  <si>
    <t>10/20</t>
  </si>
  <si>
    <t>4/01</t>
  </si>
  <si>
    <t>3/21</t>
  </si>
  <si>
    <t>8/10</t>
  </si>
  <si>
    <t>6/21</t>
  </si>
  <si>
    <t>Hudson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</si>
</sst>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21F2-B66E-4D9B-BE5B-22666E4937F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267</v>
      </c>
      <c r="C2" s="21">
        <v>267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215319.72</v>
      </c>
      <c r="G9" s="18">
        <v>389828.34</v>
      </c>
      <c r="H9" s="18">
        <f>-420009.04+7152.04+152001.56</f>
        <v>-260855.44</v>
      </c>
      <c r="I9" s="18"/>
      <c r="J9" s="67">
        <f>SUM(I431)</f>
        <v>663330.19999999995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1086443.06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420009.04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329157.45</v>
      </c>
      <c r="G13" s="18">
        <v>21575</v>
      </c>
      <c r="H13" s="18">
        <v>436435.89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15681.5</v>
      </c>
      <c r="G14" s="18"/>
      <c r="H14" s="18">
        <v>2190.5100000000002</v>
      </c>
      <c r="I14" s="18"/>
      <c r="J14" s="67">
        <f>SUM(I435)</f>
        <v>3435.21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2066610.77</v>
      </c>
      <c r="G19" s="41">
        <f>SUM(G9:G18)</f>
        <v>411403.34</v>
      </c>
      <c r="H19" s="41">
        <f>SUM(H9:H18)</f>
        <v>177770.96000000002</v>
      </c>
      <c r="I19" s="41">
        <f>SUM(I9:I18)</f>
        <v>0</v>
      </c>
      <c r="J19" s="41">
        <f>SUM(J9:J18)</f>
        <v>666765.40999999992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2040.28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169204.35</v>
      </c>
      <c r="G25" s="18">
        <v>14754.1</v>
      </c>
      <c r="H25" s="18">
        <f>-274.87+33+9.99</f>
        <v>-231.88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1336513.31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21153.97</v>
      </c>
      <c r="H31" s="18">
        <v>16701.72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1505717.6600000001</v>
      </c>
      <c r="G33" s="41">
        <f>SUM(G23:G32)</f>
        <v>35908.07</v>
      </c>
      <c r="H33" s="41">
        <f>SUM(H23:H32)</f>
        <v>16469.84</v>
      </c>
      <c r="I33" s="41">
        <f>SUM(I23:I32)</f>
        <v>0</v>
      </c>
      <c r="J33" s="41">
        <f>SUM(J23:J32)</f>
        <v>2040.28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235551.98</v>
      </c>
      <c r="G37" s="18">
        <v>227169.6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148325.67000000001</v>
      </c>
      <c r="H41" s="18">
        <f>9309.55+151991.57</f>
        <v>161301.12</v>
      </c>
      <c r="I41" s="18"/>
      <c r="J41" s="13">
        <f>SUM(I449)</f>
        <v>664725.13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325341.13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560893.11</v>
      </c>
      <c r="G43" s="41">
        <f>SUM(G35:G42)</f>
        <v>375495.27</v>
      </c>
      <c r="H43" s="41">
        <f>SUM(H35:H42)</f>
        <v>161301.12</v>
      </c>
      <c r="I43" s="41">
        <f>SUM(I35:I42)</f>
        <v>0</v>
      </c>
      <c r="J43" s="41">
        <f>SUM(J35:J42)</f>
        <v>664725.13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2066610.77</v>
      </c>
      <c r="G44" s="41">
        <f>G43+G33</f>
        <v>411403.34</v>
      </c>
      <c r="H44" s="41">
        <f>H43+H33</f>
        <v>177770.96</v>
      </c>
      <c r="I44" s="41">
        <f>I43+I33</f>
        <v>0</v>
      </c>
      <c r="J44" s="41">
        <f>J43+J33</f>
        <v>666765.41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20642629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20642629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22760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103546.11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126306.11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19237.189999999999</v>
      </c>
      <c r="G88" s="18">
        <v>4428.45</v>
      </c>
      <c r="H88" s="18">
        <f>1.98+1246.22</f>
        <v>1248.2</v>
      </c>
      <c r="I88" s="18"/>
      <c r="J88" s="18">
        <v>4363.41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834501.57-20375.38</f>
        <v>814126.19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14025.75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32919</v>
      </c>
      <c r="G93" s="18"/>
      <c r="H93" s="18">
        <v>7150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62689.48</v>
      </c>
      <c r="G94" s="18">
        <v>22002.47</v>
      </c>
      <c r="H94" s="18"/>
      <c r="I94" s="18"/>
      <c r="J94" s="18">
        <v>145528.85999999999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75000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>
        <f>30730.22+35046.98+4910+99715.9+113134.72</f>
        <v>283537.82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128432.92+540</f>
        <v>128972.92</v>
      </c>
      <c r="G102" s="18">
        <v>5495.31</v>
      </c>
      <c r="H102" s="18">
        <v>1801.33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332844.34000000003</v>
      </c>
      <c r="G103" s="41">
        <f>SUM(G88:G102)</f>
        <v>846052.41999999993</v>
      </c>
      <c r="H103" s="41">
        <f>SUM(H88:H102)</f>
        <v>293737.35000000003</v>
      </c>
      <c r="I103" s="41">
        <f>SUM(I88:I102)</f>
        <v>0</v>
      </c>
      <c r="J103" s="41">
        <f>SUM(J88:J102)</f>
        <v>149892.26999999999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21101779.449999999</v>
      </c>
      <c r="G104" s="41">
        <f>G52+G103</f>
        <v>846052.41999999993</v>
      </c>
      <c r="H104" s="41">
        <f>H52+H71+H86+H103</f>
        <v>293737.35000000003</v>
      </c>
      <c r="I104" s="41">
        <f>I52+I103</f>
        <v>0</v>
      </c>
      <c r="J104" s="41">
        <f>J52+J103</f>
        <v>149892.26999999999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6701612.4400000004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6181024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2571199.56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15453836.000000002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325934.45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441369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307050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235566.42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160451.97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2426.4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13008.47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1472798.2399999998</v>
      </c>
      <c r="G128" s="41">
        <f>SUM(G115:G127)</f>
        <v>13008.47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16926634.240000002</v>
      </c>
      <c r="G132" s="41">
        <f>G113+SUM(G128:G129)</f>
        <v>13008.47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152142.29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113980.33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58646.61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67520.68+40308.34+165838.02</f>
        <v>273667.03999999998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1247659.79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246111.63</v>
      </c>
      <c r="G152" s="24" t="s">
        <v>312</v>
      </c>
      <c r="H152" s="18">
        <v>949431.21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246111.63</v>
      </c>
      <c r="G154" s="41">
        <f>SUM(G142:G153)</f>
        <v>273667.03999999998</v>
      </c>
      <c r="H154" s="41">
        <f>SUM(H142:H153)</f>
        <v>2521860.23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246111.63</v>
      </c>
      <c r="G161" s="41">
        <f>G139+G154+SUM(G155:G160)</f>
        <v>273667.03999999998</v>
      </c>
      <c r="H161" s="41">
        <f>H139+H154+SUM(H155:H160)</f>
        <v>2521860.23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30464.86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30464.86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30464.86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38304990.18</v>
      </c>
      <c r="G185" s="47">
        <f>G104+G132+G161+G184</f>
        <v>1132727.93</v>
      </c>
      <c r="H185" s="47">
        <f>H104+H132+H161+H184</f>
        <v>2815597.58</v>
      </c>
      <c r="I185" s="47">
        <f>I104+I132+I161+I184</f>
        <v>0</v>
      </c>
      <c r="J185" s="47">
        <f>J104+J132+J184</f>
        <v>249892.27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3914205.65</v>
      </c>
      <c r="G189" s="18">
        <v>1661635.54</v>
      </c>
      <c r="H189" s="18">
        <v>221654.91</v>
      </c>
      <c r="I189" s="18">
        <v>386556.33</v>
      </c>
      <c r="J189" s="18">
        <v>112832.58</v>
      </c>
      <c r="K189" s="18"/>
      <c r="L189" s="19">
        <f>SUM(F189:K189)</f>
        <v>6296885.0099999998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1315696.47</v>
      </c>
      <c r="G190" s="18">
        <v>421154.11</v>
      </c>
      <c r="H190" s="18">
        <v>232692.16</v>
      </c>
      <c r="I190" s="18">
        <v>10426.34</v>
      </c>
      <c r="J190" s="18">
        <v>10086.76</v>
      </c>
      <c r="K190" s="18"/>
      <c r="L190" s="19">
        <f>SUM(F190:K190)</f>
        <v>1990055.84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931157.79</v>
      </c>
      <c r="G194" s="18">
        <v>342192.02</v>
      </c>
      <c r="H194" s="18">
        <v>49462.74</v>
      </c>
      <c r="I194" s="18">
        <v>18983.900000000001</v>
      </c>
      <c r="J194" s="18">
        <v>7125.67</v>
      </c>
      <c r="K194" s="18">
        <v>6236.29</v>
      </c>
      <c r="L194" s="19">
        <f t="shared" ref="L194:L200" si="0">SUM(F194:K194)</f>
        <v>1355158.41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175264.21</v>
      </c>
      <c r="G195" s="18">
        <v>144778.60999999999</v>
      </c>
      <c r="H195" s="18">
        <v>64067.06</v>
      </c>
      <c r="I195" s="18">
        <v>36306.959999999999</v>
      </c>
      <c r="J195" s="18">
        <v>41007.69</v>
      </c>
      <c r="K195" s="18"/>
      <c r="L195" s="19">
        <f t="shared" si="0"/>
        <v>461424.52999999997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166990.97</v>
      </c>
      <c r="G196" s="18">
        <v>43001.72</v>
      </c>
      <c r="H196" s="18">
        <v>48534.1</v>
      </c>
      <c r="I196" s="18">
        <v>5227.72</v>
      </c>
      <c r="J196" s="18">
        <v>1119.92</v>
      </c>
      <c r="K196" s="18">
        <v>3006.43</v>
      </c>
      <c r="L196" s="19">
        <f t="shared" si="0"/>
        <v>267880.86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701602.24</v>
      </c>
      <c r="G197" s="18">
        <v>237177.51</v>
      </c>
      <c r="H197" s="18">
        <v>39856.769999999997</v>
      </c>
      <c r="I197" s="18">
        <v>13420.12</v>
      </c>
      <c r="J197" s="18"/>
      <c r="K197" s="18">
        <v>3698.5</v>
      </c>
      <c r="L197" s="19">
        <f t="shared" si="0"/>
        <v>995755.14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171162.79</v>
      </c>
      <c r="G198" s="18">
        <v>84732.62</v>
      </c>
      <c r="H198" s="18">
        <v>56548.480000000003</v>
      </c>
      <c r="I198" s="18">
        <v>8401.67</v>
      </c>
      <c r="J198" s="18">
        <v>1025.58</v>
      </c>
      <c r="K198" s="18"/>
      <c r="L198" s="19">
        <f t="shared" si="0"/>
        <v>321871.14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629757.31000000006</v>
      </c>
      <c r="G199" s="18">
        <v>280042.98</v>
      </c>
      <c r="H199" s="18">
        <v>462304.48</v>
      </c>
      <c r="I199" s="18">
        <v>375199.29</v>
      </c>
      <c r="J199" s="18">
        <v>26639.48</v>
      </c>
      <c r="K199" s="18"/>
      <c r="L199" s="19">
        <f t="shared" si="0"/>
        <v>1773943.54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510688.46</v>
      </c>
      <c r="I200" s="18">
        <v>12746.75</v>
      </c>
      <c r="J200" s="18"/>
      <c r="K200" s="18"/>
      <c r="L200" s="19">
        <f t="shared" si="0"/>
        <v>523435.21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8005837.4299999997</v>
      </c>
      <c r="G203" s="41">
        <f t="shared" si="1"/>
        <v>3214715.11</v>
      </c>
      <c r="H203" s="41">
        <f t="shared" si="1"/>
        <v>1685809.16</v>
      </c>
      <c r="I203" s="41">
        <f t="shared" si="1"/>
        <v>867269.08000000007</v>
      </c>
      <c r="J203" s="41">
        <f t="shared" si="1"/>
        <v>199837.68000000002</v>
      </c>
      <c r="K203" s="41">
        <f t="shared" si="1"/>
        <v>12941.22</v>
      </c>
      <c r="L203" s="41">
        <f t="shared" si="1"/>
        <v>13986409.68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2729212.08</v>
      </c>
      <c r="G207" s="18">
        <v>989574.17</v>
      </c>
      <c r="H207" s="18">
        <v>133676.99</v>
      </c>
      <c r="I207" s="18">
        <v>90215.26</v>
      </c>
      <c r="J207" s="18">
        <v>39152.400000000001</v>
      </c>
      <c r="K207" s="18">
        <v>421</v>
      </c>
      <c r="L207" s="19">
        <f>SUM(F207:K207)</f>
        <v>3982251.9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873139.89</v>
      </c>
      <c r="G208" s="18">
        <v>327298.67</v>
      </c>
      <c r="H208" s="18">
        <v>208461.47</v>
      </c>
      <c r="I208" s="18">
        <v>7581.26</v>
      </c>
      <c r="J208" s="18">
        <v>4428.57</v>
      </c>
      <c r="K208" s="18"/>
      <c r="L208" s="19">
        <f>SUM(F208:K208)</f>
        <v>1420909.86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56811.22</v>
      </c>
      <c r="G210" s="18">
        <v>8571.61</v>
      </c>
      <c r="H210" s="18">
        <f>11944.87-5844.87</f>
        <v>6100.0000000000009</v>
      </c>
      <c r="I210" s="18">
        <v>5500.4</v>
      </c>
      <c r="J210" s="18"/>
      <c r="K210" s="18">
        <v>939.99</v>
      </c>
      <c r="L210" s="19">
        <f>SUM(F210:K210)</f>
        <v>77923.22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463602.77</v>
      </c>
      <c r="G212" s="18">
        <v>177311.76</v>
      </c>
      <c r="H212" s="18">
        <v>28730.21</v>
      </c>
      <c r="I212" s="18">
        <v>4105.9399999999996</v>
      </c>
      <c r="J212" s="18">
        <v>895.99</v>
      </c>
      <c r="K212" s="18">
        <v>3702.33</v>
      </c>
      <c r="L212" s="19">
        <f t="shared" ref="L212:L218" si="2">SUM(F212:K212)</f>
        <v>678348.99999999988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90247.09</v>
      </c>
      <c r="G213" s="18">
        <v>47947.5</v>
      </c>
      <c r="H213" s="18">
        <v>41713.15</v>
      </c>
      <c r="I213" s="18">
        <v>12128.52</v>
      </c>
      <c r="J213" s="18">
        <v>14290.22</v>
      </c>
      <c r="K213" s="18">
        <v>801</v>
      </c>
      <c r="L213" s="19">
        <f t="shared" si="2"/>
        <v>207127.47999999998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111187.93</v>
      </c>
      <c r="G214" s="18">
        <v>28910.57</v>
      </c>
      <c r="H214" s="18">
        <v>28815.93</v>
      </c>
      <c r="I214" s="18">
        <v>3368.29</v>
      </c>
      <c r="J214" s="18">
        <v>664.87</v>
      </c>
      <c r="K214" s="18">
        <v>1784.85</v>
      </c>
      <c r="L214" s="19">
        <f t="shared" si="2"/>
        <v>174732.44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416517.28</v>
      </c>
      <c r="G215" s="18">
        <v>176763.9</v>
      </c>
      <c r="H215" s="18">
        <v>23988.71</v>
      </c>
      <c r="I215" s="18">
        <v>18403.18</v>
      </c>
      <c r="J215" s="18">
        <v>23120.95</v>
      </c>
      <c r="K215" s="18">
        <v>2980</v>
      </c>
      <c r="L215" s="19">
        <f t="shared" si="2"/>
        <v>661774.02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101615.14</v>
      </c>
      <c r="G216" s="18">
        <v>50303.68</v>
      </c>
      <c r="H216" s="18">
        <v>33571.440000000002</v>
      </c>
      <c r="I216" s="18">
        <v>4987.87</v>
      </c>
      <c r="J216" s="18">
        <v>608.86</v>
      </c>
      <c r="K216" s="18"/>
      <c r="L216" s="19">
        <f t="shared" si="2"/>
        <v>191086.99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340665.88</v>
      </c>
      <c r="G217" s="18">
        <v>178389.53</v>
      </c>
      <c r="H217" s="18">
        <v>226572.61</v>
      </c>
      <c r="I217" s="18">
        <v>206234.07</v>
      </c>
      <c r="J217" s="18">
        <v>13327.03</v>
      </c>
      <c r="K217" s="18"/>
      <c r="L217" s="19">
        <f t="shared" si="2"/>
        <v>965189.12000000011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359563.67+5844.87</f>
        <v>365408.54</v>
      </c>
      <c r="I218" s="18">
        <v>8386.02</v>
      </c>
      <c r="J218" s="18"/>
      <c r="K218" s="18"/>
      <c r="L218" s="19">
        <f t="shared" si="2"/>
        <v>373794.56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5182999.28</v>
      </c>
      <c r="G221" s="41">
        <f>SUM(G207:G220)</f>
        <v>1985071.3900000001</v>
      </c>
      <c r="H221" s="41">
        <f>SUM(H207:H220)</f>
        <v>1097039.05</v>
      </c>
      <c r="I221" s="41">
        <f>SUM(I207:I220)</f>
        <v>360910.81</v>
      </c>
      <c r="J221" s="41">
        <f>SUM(J207:J220)</f>
        <v>96488.89</v>
      </c>
      <c r="K221" s="41">
        <f t="shared" si="3"/>
        <v>10629.17</v>
      </c>
      <c r="L221" s="41">
        <f t="shared" si="3"/>
        <v>8733138.5899999999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3551505.7</v>
      </c>
      <c r="G225" s="18">
        <v>1403812.31</v>
      </c>
      <c r="H225" s="18">
        <v>201051.2</v>
      </c>
      <c r="I225" s="18">
        <v>157082.42000000001</v>
      </c>
      <c r="J225" s="18">
        <v>37836.29</v>
      </c>
      <c r="K225" s="18">
        <v>737</v>
      </c>
      <c r="L225" s="19">
        <f>SUM(F225:K225)</f>
        <v>5352024.92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1175862.55</v>
      </c>
      <c r="G226" s="18">
        <v>457877.79</v>
      </c>
      <c r="H226" s="18">
        <v>431523.83</v>
      </c>
      <c r="I226" s="18">
        <v>9115.35</v>
      </c>
      <c r="J226" s="18">
        <v>690.63</v>
      </c>
      <c r="K226" s="18"/>
      <c r="L226" s="19">
        <f>SUM(F226:K226)</f>
        <v>2075070.1500000001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921795.57</v>
      </c>
      <c r="G227" s="18">
        <v>316511.35999999999</v>
      </c>
      <c r="H227" s="18">
        <f>74998.75-253.4-2426.4</f>
        <v>72318.950000000012</v>
      </c>
      <c r="I227" s="18">
        <v>94824.93</v>
      </c>
      <c r="J227" s="18">
        <v>6951.83</v>
      </c>
      <c r="K227" s="18">
        <v>939</v>
      </c>
      <c r="L227" s="19">
        <f>SUM(F227:K227)</f>
        <v>1413341.64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241668.31</v>
      </c>
      <c r="G228" s="18">
        <v>29554.17</v>
      </c>
      <c r="H228" s="18">
        <f>166860-55475</f>
        <v>111385</v>
      </c>
      <c r="I228" s="18">
        <v>39889.160000000003</v>
      </c>
      <c r="J228" s="18">
        <v>4780.84</v>
      </c>
      <c r="K228" s="18">
        <v>11170</v>
      </c>
      <c r="L228" s="19">
        <f>SUM(F228:K228)</f>
        <v>438447.48000000004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673954.64</v>
      </c>
      <c r="G230" s="18">
        <v>247222.69</v>
      </c>
      <c r="H230" s="18">
        <v>45027.31</v>
      </c>
      <c r="I230" s="18">
        <v>10503.78</v>
      </c>
      <c r="J230" s="18">
        <v>970.58</v>
      </c>
      <c r="K230" s="18">
        <v>5571.98</v>
      </c>
      <c r="L230" s="19">
        <f t="shared" ref="L230:L236" si="4">SUM(F230:K230)</f>
        <v>983250.9800000001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113237.84</v>
      </c>
      <c r="G231" s="18">
        <v>94919.45</v>
      </c>
      <c r="H231" s="18">
        <v>60104.53</v>
      </c>
      <c r="I231" s="18">
        <v>12814.51</v>
      </c>
      <c r="J231" s="18">
        <v>15091.35</v>
      </c>
      <c r="K231" s="18"/>
      <c r="L231" s="19">
        <f t="shared" si="4"/>
        <v>296167.67999999993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184580.85</v>
      </c>
      <c r="G232" s="18">
        <v>48488.73</v>
      </c>
      <c r="H232" s="18">
        <v>41621.410000000003</v>
      </c>
      <c r="I232" s="18">
        <v>5391.85</v>
      </c>
      <c r="J232" s="18">
        <v>960.22</v>
      </c>
      <c r="K232" s="18">
        <v>2577.71</v>
      </c>
      <c r="L232" s="19">
        <f t="shared" si="4"/>
        <v>283620.76999999996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546704.48</v>
      </c>
      <c r="G233" s="18">
        <v>223898.61</v>
      </c>
      <c r="H233" s="18">
        <v>52977.86</v>
      </c>
      <c r="I233" s="18">
        <v>10556.37</v>
      </c>
      <c r="J233" s="18"/>
      <c r="K233" s="18">
        <v>5352</v>
      </c>
      <c r="L233" s="19">
        <f t="shared" si="4"/>
        <v>839489.32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146754.73000000001</v>
      </c>
      <c r="G234" s="18">
        <v>72649.63</v>
      </c>
      <c r="H234" s="18">
        <v>48484.59</v>
      </c>
      <c r="I234" s="18">
        <v>7203.58</v>
      </c>
      <c r="J234" s="18">
        <v>879.33</v>
      </c>
      <c r="K234" s="18"/>
      <c r="L234" s="19">
        <f t="shared" si="4"/>
        <v>275971.86000000004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444547.1</v>
      </c>
      <c r="G235" s="18">
        <v>195560.27</v>
      </c>
      <c r="H235" s="18">
        <v>367775.7</v>
      </c>
      <c r="I235" s="18">
        <v>357767.65</v>
      </c>
      <c r="J235" s="18">
        <v>18886.23</v>
      </c>
      <c r="K235" s="18"/>
      <c r="L235" s="19">
        <f t="shared" si="4"/>
        <v>1384536.9500000002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600817.97+55475+253.4+2426.4</f>
        <v>658972.77</v>
      </c>
      <c r="I236" s="18">
        <v>12411.31</v>
      </c>
      <c r="J236" s="18"/>
      <c r="K236" s="18"/>
      <c r="L236" s="19">
        <f t="shared" si="4"/>
        <v>671384.08000000007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8000611.7699999996</v>
      </c>
      <c r="G239" s="41">
        <f t="shared" si="5"/>
        <v>3090495.01</v>
      </c>
      <c r="H239" s="41">
        <f t="shared" si="5"/>
        <v>2091243.1500000001</v>
      </c>
      <c r="I239" s="41">
        <f t="shared" si="5"/>
        <v>717560.91000000015</v>
      </c>
      <c r="J239" s="41">
        <f t="shared" si="5"/>
        <v>87047.3</v>
      </c>
      <c r="K239" s="41">
        <f t="shared" si="5"/>
        <v>26347.69</v>
      </c>
      <c r="L239" s="41">
        <f t="shared" si="5"/>
        <v>14013305.83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228653.07</v>
      </c>
      <c r="I247" s="18"/>
      <c r="J247" s="18"/>
      <c r="K247" s="18"/>
      <c r="L247" s="19">
        <f t="shared" si="6"/>
        <v>228653.07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228653.07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228653.07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21189448.48</v>
      </c>
      <c r="G249" s="41">
        <f t="shared" si="8"/>
        <v>8290281.5099999998</v>
      </c>
      <c r="H249" s="41">
        <f t="shared" si="8"/>
        <v>5102744.4300000006</v>
      </c>
      <c r="I249" s="41">
        <f t="shared" si="8"/>
        <v>1945740.8000000003</v>
      </c>
      <c r="J249" s="41">
        <f t="shared" si="8"/>
        <v>383373.87</v>
      </c>
      <c r="K249" s="41">
        <f t="shared" si="8"/>
        <v>49918.080000000002</v>
      </c>
      <c r="L249" s="41">
        <f t="shared" si="8"/>
        <v>36961507.170000002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1037676+1229500</f>
        <v>2267176</v>
      </c>
      <c r="L252" s="19">
        <f>SUM(F252:K252)</f>
        <v>2267176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412638.35</v>
      </c>
      <c r="L253" s="19">
        <f>SUM(F253:K253)</f>
        <v>412638.35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2779814.35</v>
      </c>
      <c r="L262" s="41">
        <f t="shared" si="9"/>
        <v>2779814.35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21189448.48</v>
      </c>
      <c r="G263" s="42">
        <f t="shared" si="11"/>
        <v>8290281.5099999998</v>
      </c>
      <c r="H263" s="42">
        <f t="shared" si="11"/>
        <v>5102744.4300000006</v>
      </c>
      <c r="I263" s="42">
        <f t="shared" si="11"/>
        <v>1945740.8000000003</v>
      </c>
      <c r="J263" s="42">
        <f t="shared" si="11"/>
        <v>383373.87</v>
      </c>
      <c r="K263" s="42">
        <f t="shared" si="11"/>
        <v>2829732.43</v>
      </c>
      <c r="L263" s="42">
        <f t="shared" si="11"/>
        <v>39741321.520000003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478071.6</v>
      </c>
      <c r="G268" s="18">
        <v>100801.60000000001</v>
      </c>
      <c r="H268" s="18">
        <v>81270.34</v>
      </c>
      <c r="I268" s="18">
        <v>9625.41</v>
      </c>
      <c r="J268" s="18">
        <v>3468.31</v>
      </c>
      <c r="K268" s="18">
        <v>561.29</v>
      </c>
      <c r="L268" s="19">
        <f>SUM(F268:K268)</f>
        <v>673798.55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148458.64000000001</v>
      </c>
      <c r="G269" s="18">
        <v>24971.93</v>
      </c>
      <c r="H269" s="18">
        <v>36017.24</v>
      </c>
      <c r="I269" s="18"/>
      <c r="J269" s="18"/>
      <c r="K269" s="18">
        <v>2477.06</v>
      </c>
      <c r="L269" s="19">
        <f>SUM(F269:K269)</f>
        <v>211924.87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45082.92</v>
      </c>
      <c r="G273" s="18">
        <v>25127.279999999999</v>
      </c>
      <c r="H273" s="18">
        <v>15540.3</v>
      </c>
      <c r="I273" s="18">
        <v>589.54</v>
      </c>
      <c r="J273" s="18"/>
      <c r="K273" s="18">
        <v>2108.66</v>
      </c>
      <c r="L273" s="19">
        <f t="shared" ref="L273:L279" si="12">SUM(F273:K273)</f>
        <v>88448.7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23387.05</v>
      </c>
      <c r="G274" s="18">
        <v>2178.63</v>
      </c>
      <c r="H274" s="18">
        <v>11902.1</v>
      </c>
      <c r="I274" s="18">
        <v>3963.48</v>
      </c>
      <c r="J274" s="18"/>
      <c r="K274" s="18">
        <v>174.82</v>
      </c>
      <c r="L274" s="19">
        <f t="shared" si="12"/>
        <v>41606.080000000002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695000.21000000008</v>
      </c>
      <c r="G282" s="42">
        <f t="shared" si="13"/>
        <v>153079.44</v>
      </c>
      <c r="H282" s="42">
        <f t="shared" si="13"/>
        <v>144729.97999999998</v>
      </c>
      <c r="I282" s="42">
        <f t="shared" si="13"/>
        <v>14178.43</v>
      </c>
      <c r="J282" s="42">
        <f t="shared" si="13"/>
        <v>3468.31</v>
      </c>
      <c r="K282" s="42">
        <f t="shared" si="13"/>
        <v>5321.83</v>
      </c>
      <c r="L282" s="41">
        <f t="shared" si="13"/>
        <v>1015778.2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8112.83</v>
      </c>
      <c r="G287" s="18">
        <v>2554.88</v>
      </c>
      <c r="H287" s="18">
        <v>68076.94</v>
      </c>
      <c r="I287" s="18">
        <v>95878.2</v>
      </c>
      <c r="J287" s="18">
        <v>38023.9</v>
      </c>
      <c r="K287" s="18">
        <v>2104.9499999999998</v>
      </c>
      <c r="L287" s="19">
        <f>SUM(F287:K287)</f>
        <v>214751.69999999998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103806.86</v>
      </c>
      <c r="G288" s="18">
        <v>23565.77</v>
      </c>
      <c r="H288" s="18">
        <v>31716.67</v>
      </c>
      <c r="I288" s="18"/>
      <c r="J288" s="18"/>
      <c r="K288" s="18">
        <v>2183.87</v>
      </c>
      <c r="L288" s="19">
        <f>SUM(F288:K288)</f>
        <v>161273.16999999998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58480.09</v>
      </c>
      <c r="G292" s="18">
        <v>15457.76</v>
      </c>
      <c r="H292" s="18">
        <v>9225.89</v>
      </c>
      <c r="I292" s="18">
        <v>349.99</v>
      </c>
      <c r="J292" s="18"/>
      <c r="K292" s="18">
        <v>2089.58</v>
      </c>
      <c r="L292" s="19">
        <f t="shared" ref="L292:L298" si="14">SUM(F292:K292)</f>
        <v>85603.31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13251.01</v>
      </c>
      <c r="G293" s="18">
        <v>1234.4000000000001</v>
      </c>
      <c r="H293" s="18">
        <v>5062.28</v>
      </c>
      <c r="I293" s="18">
        <v>1433.05</v>
      </c>
      <c r="J293" s="18"/>
      <c r="K293" s="18">
        <v>99.05</v>
      </c>
      <c r="L293" s="19">
        <f t="shared" si="14"/>
        <v>21079.789999999997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183650.79</v>
      </c>
      <c r="G301" s="42">
        <f t="shared" si="15"/>
        <v>42812.810000000005</v>
      </c>
      <c r="H301" s="42">
        <f t="shared" si="15"/>
        <v>114081.78</v>
      </c>
      <c r="I301" s="42">
        <f t="shared" si="15"/>
        <v>97661.24</v>
      </c>
      <c r="J301" s="42">
        <f t="shared" si="15"/>
        <v>38023.9</v>
      </c>
      <c r="K301" s="42">
        <f t="shared" si="15"/>
        <v>6477.45</v>
      </c>
      <c r="L301" s="41">
        <f t="shared" si="15"/>
        <v>482707.97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11716.73</v>
      </c>
      <c r="G306" s="18">
        <v>3689.81</v>
      </c>
      <c r="H306" s="18">
        <v>92173.46</v>
      </c>
      <c r="I306" s="18">
        <v>77394.38</v>
      </c>
      <c r="J306" s="18">
        <v>54386.48</v>
      </c>
      <c r="K306" s="18">
        <v>2457.62</v>
      </c>
      <c r="L306" s="19">
        <f>SUM(F306:K306)</f>
        <v>241818.48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237045.13</v>
      </c>
      <c r="G307" s="18">
        <v>91015.99</v>
      </c>
      <c r="H307" s="18">
        <v>66389.98</v>
      </c>
      <c r="I307" s="18"/>
      <c r="J307" s="18"/>
      <c r="K307" s="18">
        <v>7271.74</v>
      </c>
      <c r="L307" s="19">
        <f>SUM(F307:K307)</f>
        <v>401722.83999999997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39387.94+10415.68</f>
        <v>49803.62</v>
      </c>
      <c r="G308" s="18">
        <f>25466.74+5362.22</f>
        <v>30828.960000000003</v>
      </c>
      <c r="H308" s="18">
        <f>19321.48+18170.22+4325+7124+683.19</f>
        <v>49623.89</v>
      </c>
      <c r="I308" s="18">
        <f>21647.81+19615.04+136304.62</f>
        <v>177567.47</v>
      </c>
      <c r="J308" s="18">
        <f>16569</f>
        <v>16569</v>
      </c>
      <c r="K308" s="18">
        <f>2496.56+4910</f>
        <v>7406.5599999999995</v>
      </c>
      <c r="L308" s="19">
        <f>SUM(F308:K308)</f>
        <v>331799.5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116271.39</v>
      </c>
      <c r="G311" s="18">
        <v>51739.88</v>
      </c>
      <c r="H311" s="18">
        <v>13324.23</v>
      </c>
      <c r="I311" s="18">
        <v>505.47</v>
      </c>
      <c r="J311" s="18"/>
      <c r="K311" s="18">
        <v>4607.9799999999996</v>
      </c>
      <c r="L311" s="19">
        <f t="shared" ref="L311:L317" si="16">SUM(F311:K311)</f>
        <v>186448.95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18254.759999999998</v>
      </c>
      <c r="G312" s="18">
        <v>1700.53</v>
      </c>
      <c r="H312" s="18">
        <v>665.11</v>
      </c>
      <c r="I312" s="18"/>
      <c r="J312" s="18"/>
      <c r="K312" s="18">
        <v>5796.25</v>
      </c>
      <c r="L312" s="19">
        <f t="shared" si="16"/>
        <v>26416.649999999998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433091.63000000006</v>
      </c>
      <c r="G320" s="42">
        <f t="shared" si="17"/>
        <v>178975.17</v>
      </c>
      <c r="H320" s="42">
        <f t="shared" si="17"/>
        <v>222176.67</v>
      </c>
      <c r="I320" s="42">
        <f t="shared" si="17"/>
        <v>255467.32</v>
      </c>
      <c r="J320" s="42">
        <f t="shared" si="17"/>
        <v>70955.48000000001</v>
      </c>
      <c r="K320" s="42">
        <f t="shared" si="17"/>
        <v>27540.149999999998</v>
      </c>
      <c r="L320" s="41">
        <f t="shared" si="17"/>
        <v>1188206.42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10127.469999999999</v>
      </c>
      <c r="G325" s="18">
        <v>1609.85</v>
      </c>
      <c r="H325" s="18">
        <v>45423.12</v>
      </c>
      <c r="I325" s="18"/>
      <c r="J325" s="18"/>
      <c r="K325" s="18">
        <v>1486.17</v>
      </c>
      <c r="L325" s="19">
        <f t="shared" si="18"/>
        <v>58646.61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10127.469999999999</v>
      </c>
      <c r="G329" s="41">
        <f t="shared" si="19"/>
        <v>1609.85</v>
      </c>
      <c r="H329" s="41">
        <f t="shared" si="19"/>
        <v>45423.12</v>
      </c>
      <c r="I329" s="41">
        <f t="shared" si="19"/>
        <v>0</v>
      </c>
      <c r="J329" s="41">
        <f t="shared" si="19"/>
        <v>0</v>
      </c>
      <c r="K329" s="41">
        <f t="shared" si="19"/>
        <v>1486.17</v>
      </c>
      <c r="L329" s="41">
        <f t="shared" si="18"/>
        <v>58646.61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1321870.1000000001</v>
      </c>
      <c r="G330" s="41">
        <f t="shared" si="20"/>
        <v>376477.27</v>
      </c>
      <c r="H330" s="41">
        <f t="shared" si="20"/>
        <v>526411.55000000005</v>
      </c>
      <c r="I330" s="41">
        <f t="shared" si="20"/>
        <v>367306.99</v>
      </c>
      <c r="J330" s="41">
        <f t="shared" si="20"/>
        <v>112447.69</v>
      </c>
      <c r="K330" s="41">
        <f t="shared" si="20"/>
        <v>40825.599999999991</v>
      </c>
      <c r="L330" s="41">
        <f t="shared" si="20"/>
        <v>2745339.1999999997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1321870.1000000001</v>
      </c>
      <c r="G344" s="41">
        <f>G330</f>
        <v>376477.27</v>
      </c>
      <c r="H344" s="41">
        <f>H330</f>
        <v>526411.55000000005</v>
      </c>
      <c r="I344" s="41">
        <f>I330</f>
        <v>367306.99</v>
      </c>
      <c r="J344" s="41">
        <f>J330</f>
        <v>112447.69</v>
      </c>
      <c r="K344" s="47">
        <f>K330+K343</f>
        <v>40825.599999999991</v>
      </c>
      <c r="L344" s="41">
        <f>L330+L343</f>
        <v>2745339.1999999997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152478.32+38772.71</f>
        <v>191251.03</v>
      </c>
      <c r="G350" s="18">
        <f>71701.17+11330.38</f>
        <v>83031.55</v>
      </c>
      <c r="H350" s="18">
        <v>10695.59</v>
      </c>
      <c r="I350" s="18">
        <f>23985.84+141870.56+8626.65+142.01</f>
        <v>174625.06</v>
      </c>
      <c r="J350" s="18">
        <f>60746.86+4193.69</f>
        <v>64940.55</v>
      </c>
      <c r="K350" s="18">
        <f>2464.27+1510.63</f>
        <v>3974.9</v>
      </c>
      <c r="L350" s="13">
        <f>SUM(F350:K350)</f>
        <v>528518.68000000005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69168.44+23018.4</f>
        <v>92186.84</v>
      </c>
      <c r="G351" s="18">
        <f>6726.57+28595.77</f>
        <v>35322.339999999997</v>
      </c>
      <c r="H351" s="18">
        <v>5706.12</v>
      </c>
      <c r="I351" s="18">
        <f>10546.01+102282.76+5121.43+84.31</f>
        <v>118034.50999999998</v>
      </c>
      <c r="J351" s="18">
        <f>21472+2489.69</f>
        <v>23961.69</v>
      </c>
      <c r="K351" s="18">
        <f>1132.74+896.82</f>
        <v>2029.56</v>
      </c>
      <c r="L351" s="19">
        <f>SUM(F351:K351)</f>
        <v>277241.05999999994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74489.46+33243.66</f>
        <v>107733.12000000001</v>
      </c>
      <c r="G352" s="18">
        <f>30415.7+9714.64</f>
        <v>40130.339999999997</v>
      </c>
      <c r="H352" s="18">
        <v>10509</v>
      </c>
      <c r="I352" s="18">
        <f>11543.1+123177.67+7396.47+121.76</f>
        <v>142239</v>
      </c>
      <c r="J352" s="18">
        <f>54448.45+3595.67</f>
        <v>58044.119999999995</v>
      </c>
      <c r="K352" s="18">
        <f>682.83+1295.21</f>
        <v>1978.04</v>
      </c>
      <c r="L352" s="19">
        <f>SUM(F352:K352)</f>
        <v>360633.62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391170.99</v>
      </c>
      <c r="G354" s="47">
        <f t="shared" si="22"/>
        <v>158484.22999999998</v>
      </c>
      <c r="H354" s="47">
        <f t="shared" si="22"/>
        <v>26910.71</v>
      </c>
      <c r="I354" s="47">
        <f t="shared" si="22"/>
        <v>434898.56999999995</v>
      </c>
      <c r="J354" s="47">
        <f t="shared" si="22"/>
        <v>146946.35999999999</v>
      </c>
      <c r="K354" s="47">
        <f t="shared" si="22"/>
        <v>7982.5</v>
      </c>
      <c r="L354" s="47">
        <f t="shared" si="22"/>
        <v>1166393.3599999999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141870.56+142.01</f>
        <v>142012.57</v>
      </c>
      <c r="G359" s="18">
        <f>102282.76+84.31</f>
        <v>102367.06999999999</v>
      </c>
      <c r="H359" s="18">
        <f>123177.67+121.76</f>
        <v>123299.43</v>
      </c>
      <c r="I359" s="56">
        <f>SUM(F359:H359)</f>
        <v>367679.07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23985.84+8626.65</f>
        <v>32612.489999999998</v>
      </c>
      <c r="G360" s="63">
        <f>10546.01+5121.43</f>
        <v>15667.44</v>
      </c>
      <c r="H360" s="63">
        <f>11543.1+7396.47</f>
        <v>18939.57</v>
      </c>
      <c r="I360" s="56">
        <f>SUM(F360:H360)</f>
        <v>67219.5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174625.06</v>
      </c>
      <c r="G361" s="47">
        <f>SUM(G359:G360)</f>
        <v>118034.51</v>
      </c>
      <c r="H361" s="47">
        <f>SUM(H359:H360)</f>
        <v>142239</v>
      </c>
      <c r="I361" s="47">
        <f>SUM(I359:I360)</f>
        <v>434898.57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266.16000000000003</v>
      </c>
      <c r="I380" s="18"/>
      <c r="J380" s="24" t="s">
        <v>312</v>
      </c>
      <c r="K380" s="24" t="s">
        <v>312</v>
      </c>
      <c r="L380" s="56">
        <f t="shared" si="25"/>
        <v>266.16000000000003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100000</v>
      </c>
      <c r="H381" s="18">
        <v>2584.0100000000002</v>
      </c>
      <c r="I381" s="18"/>
      <c r="J381" s="24" t="s">
        <v>312</v>
      </c>
      <c r="K381" s="24" t="s">
        <v>312</v>
      </c>
      <c r="L381" s="56">
        <f t="shared" si="25"/>
        <v>102584.01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2850.17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102850.17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0.02</v>
      </c>
      <c r="I387" s="18"/>
      <c r="J387" s="24" t="s">
        <v>312</v>
      </c>
      <c r="K387" s="24" t="s">
        <v>312</v>
      </c>
      <c r="L387" s="56">
        <f t="shared" ref="L387:L392" si="26">SUM(F387:K387)</f>
        <v>0.02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664.06</v>
      </c>
      <c r="I388" s="18"/>
      <c r="J388" s="24" t="s">
        <v>312</v>
      </c>
      <c r="K388" s="24" t="s">
        <v>312</v>
      </c>
      <c r="L388" s="56">
        <f t="shared" si="26"/>
        <v>664.06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843.26</v>
      </c>
      <c r="I389" s="18"/>
      <c r="J389" s="24" t="s">
        <v>312</v>
      </c>
      <c r="K389" s="24" t="s">
        <v>312</v>
      </c>
      <c r="L389" s="56">
        <f t="shared" si="26"/>
        <v>843.26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5.9</v>
      </c>
      <c r="I392" s="18">
        <v>145528.85999999999</v>
      </c>
      <c r="J392" s="24" t="s">
        <v>312</v>
      </c>
      <c r="K392" s="24" t="s">
        <v>312</v>
      </c>
      <c r="L392" s="56">
        <f t="shared" si="26"/>
        <v>145534.75999999998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1513.24</v>
      </c>
      <c r="I393" s="47">
        <f>SUM(I387:I392)</f>
        <v>145528.85999999999</v>
      </c>
      <c r="J393" s="45" t="s">
        <v>312</v>
      </c>
      <c r="K393" s="45" t="s">
        <v>312</v>
      </c>
      <c r="L393" s="47">
        <f>SUM(L387:L392)</f>
        <v>147042.09999999998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4363.41</v>
      </c>
      <c r="I400" s="47">
        <f>I385+I393+I399</f>
        <v>145528.85999999999</v>
      </c>
      <c r="J400" s="24" t="s">
        <v>312</v>
      </c>
      <c r="K400" s="24" t="s">
        <v>312</v>
      </c>
      <c r="L400" s="47">
        <f>L385+L393+L399</f>
        <v>249892.26999999996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1935.21</v>
      </c>
      <c r="I418" s="18">
        <v>4724.46</v>
      </c>
      <c r="J418" s="18">
        <v>82143.39</v>
      </c>
      <c r="K418" s="18">
        <v>56725.8</v>
      </c>
      <c r="L418" s="56">
        <f t="shared" si="29"/>
        <v>145528.85999999999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1935.21</v>
      </c>
      <c r="I419" s="47">
        <f t="shared" si="30"/>
        <v>4724.46</v>
      </c>
      <c r="J419" s="47">
        <f t="shared" si="30"/>
        <v>82143.39</v>
      </c>
      <c r="K419" s="47">
        <f t="shared" si="30"/>
        <v>56725.8</v>
      </c>
      <c r="L419" s="47">
        <f t="shared" si="30"/>
        <v>145528.85999999999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1935.21</v>
      </c>
      <c r="I426" s="47">
        <f t="shared" si="32"/>
        <v>4724.46</v>
      </c>
      <c r="J426" s="47">
        <f t="shared" si="32"/>
        <v>82143.39</v>
      </c>
      <c r="K426" s="47">
        <f t="shared" si="32"/>
        <v>56725.8</v>
      </c>
      <c r="L426" s="47">
        <f t="shared" si="32"/>
        <v>145528.85999999999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45">
        <v>426998.12</v>
      </c>
      <c r="G431" s="18">
        <v>235576</v>
      </c>
      <c r="H431" s="18">
        <v>756.08</v>
      </c>
      <c r="I431" s="56">
        <f t="shared" ref="I431:I437" si="33">SUM(F431:H431)</f>
        <v>663330.19999999995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>
        <v>3435.21</v>
      </c>
      <c r="H435" s="18"/>
      <c r="I435" s="56">
        <f t="shared" si="33"/>
        <v>3435.21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426998.12</v>
      </c>
      <c r="G438" s="13">
        <f>SUM(G431:G437)</f>
        <v>239011.21</v>
      </c>
      <c r="H438" s="13">
        <f>SUM(H431:H437)</f>
        <v>756.08</v>
      </c>
      <c r="I438" s="13">
        <f>SUM(I431:I437)</f>
        <v>666765.40999999992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2040.28</v>
      </c>
      <c r="H440" s="18"/>
      <c r="I440" s="56">
        <f>SUM(F440:H440)</f>
        <v>2040.28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2040.28</v>
      </c>
      <c r="H444" s="72">
        <f>SUM(H440:H443)</f>
        <v>0</v>
      </c>
      <c r="I444" s="72">
        <f>SUM(I440:I443)</f>
        <v>2040.28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45">
        <v>426998.12</v>
      </c>
      <c r="G449" s="18">
        <v>236970.93</v>
      </c>
      <c r="H449" s="18">
        <v>756.08</v>
      </c>
      <c r="I449" s="56">
        <f>SUM(F449:H449)</f>
        <v>664725.13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426998.12</v>
      </c>
      <c r="G450" s="83">
        <f>SUM(G446:G449)</f>
        <v>236970.93</v>
      </c>
      <c r="H450" s="83">
        <f>SUM(H446:H449)</f>
        <v>756.08</v>
      </c>
      <c r="I450" s="83">
        <f>SUM(I446:I449)</f>
        <v>664725.13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426998.12</v>
      </c>
      <c r="G451" s="42">
        <f>G444+G450</f>
        <v>239011.21</v>
      </c>
      <c r="H451" s="42">
        <f>H444+H450</f>
        <v>756.08</v>
      </c>
      <c r="I451" s="42">
        <f>I444+I450</f>
        <v>666765.41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1997224.45</v>
      </c>
      <c r="G455" s="18">
        <v>409160.7</v>
      </c>
      <c r="H455" s="18">
        <v>91042.74</v>
      </c>
      <c r="I455" s="18"/>
      <c r="J455" s="18">
        <v>560361.72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38304990.18</v>
      </c>
      <c r="G458" s="18">
        <f>1153103.31-20375.38</f>
        <v>1132727.9300000002</v>
      </c>
      <c r="H458" s="18">
        <f>2521860.23+79640.51+214096.84</f>
        <v>2815597.5799999996</v>
      </c>
      <c r="I458" s="18"/>
      <c r="J458" s="18">
        <v>249892.27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38304990.18</v>
      </c>
      <c r="G460" s="53">
        <f>SUM(G458:G459)</f>
        <v>1132727.9300000002</v>
      </c>
      <c r="H460" s="53">
        <f>SUM(H458:H459)</f>
        <v>2815597.5799999996</v>
      </c>
      <c r="I460" s="53">
        <f>SUM(I458:I459)</f>
        <v>0</v>
      </c>
      <c r="J460" s="53">
        <f>SUM(J458:J459)</f>
        <v>249892.27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38511821.52+1229500</f>
        <v>39741321.520000003</v>
      </c>
      <c r="G462" s="18">
        <v>1166393.3600000001</v>
      </c>
      <c r="H462" s="18">
        <f>2521860.23+53563.16+169915.81</f>
        <v>2745339.2</v>
      </c>
      <c r="I462" s="18"/>
      <c r="J462" s="18">
        <v>145528.85999999999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39741321.520000003</v>
      </c>
      <c r="G464" s="53">
        <f>SUM(G462:G463)</f>
        <v>1166393.3600000001</v>
      </c>
      <c r="H464" s="53">
        <f>SUM(H462:H463)</f>
        <v>2745339.2</v>
      </c>
      <c r="I464" s="53">
        <f>SUM(I462:I463)</f>
        <v>0</v>
      </c>
      <c r="J464" s="53">
        <f>SUM(J462:J463)</f>
        <v>145528.85999999999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560893.1099999994</v>
      </c>
      <c r="G466" s="53">
        <f>(G455+G460)- G464</f>
        <v>375495.27</v>
      </c>
      <c r="H466" s="53">
        <f>(H455+H460)- H464</f>
        <v>161301.11999999965</v>
      </c>
      <c r="I466" s="53">
        <f>(I455+I460)- I464</f>
        <v>0</v>
      </c>
      <c r="J466" s="53">
        <f>(J455+J460)- J464</f>
        <v>664725.13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12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10000000</v>
      </c>
      <c r="G483" s="18">
        <v>7625000</v>
      </c>
      <c r="H483" s="18">
        <v>8220000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5.12</v>
      </c>
      <c r="G484" s="18">
        <v>4.7699999999999996</v>
      </c>
      <c r="H484" s="18">
        <v>2.7048899999999998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5500000</v>
      </c>
      <c r="G485" s="18">
        <v>4180000</v>
      </c>
      <c r="H485" s="18"/>
      <c r="I485" s="18"/>
      <c r="J485" s="18"/>
      <c r="K485" s="53">
        <f>SUM(F485:J485)</f>
        <v>9680000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>
        <v>8220000</v>
      </c>
      <c r="I486" s="18"/>
      <c r="J486" s="18"/>
      <c r="K486" s="53">
        <f t="shared" ref="K486:K493" si="34">SUM(F486:J486)</f>
        <v>8220000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5000000</v>
      </c>
      <c r="G487" s="18">
        <v>3800000</v>
      </c>
      <c r="H487" s="18">
        <v>90000</v>
      </c>
      <c r="I487" s="18"/>
      <c r="J487" s="18"/>
      <c r="K487" s="53">
        <f t="shared" si="34"/>
        <v>8890000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500000</v>
      </c>
      <c r="G488" s="205">
        <f>G485-G487</f>
        <v>380000</v>
      </c>
      <c r="H488" s="205">
        <f>H483-H487</f>
        <v>8130000</v>
      </c>
      <c r="I488" s="205"/>
      <c r="J488" s="205"/>
      <c r="K488" s="206">
        <f t="shared" si="34"/>
        <v>9010000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12500</v>
      </c>
      <c r="G489" s="18">
        <v>17100</v>
      </c>
      <c r="H489" s="18">
        <v>1475334.46</v>
      </c>
      <c r="I489" s="18"/>
      <c r="J489" s="18"/>
      <c r="K489" s="53">
        <f t="shared" si="34"/>
        <v>1504934.46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512500</v>
      </c>
      <c r="G490" s="42">
        <f>SUM(G488:G489)</f>
        <v>397100</v>
      </c>
      <c r="H490" s="42">
        <f>SUM(H488:H489)</f>
        <v>9605334.4600000009</v>
      </c>
      <c r="I490" s="42">
        <f>SUM(I488:I489)</f>
        <v>0</v>
      </c>
      <c r="J490" s="42">
        <f>SUM(J488:J489)</f>
        <v>0</v>
      </c>
      <c r="K490" s="42">
        <f t="shared" si="34"/>
        <v>10514934.460000001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F488</f>
        <v>500000</v>
      </c>
      <c r="G491" s="205">
        <f>G488</f>
        <v>380000</v>
      </c>
      <c r="H491" s="205">
        <v>25000</v>
      </c>
      <c r="I491" s="205"/>
      <c r="J491" s="205"/>
      <c r="K491" s="206">
        <f t="shared" si="34"/>
        <v>905000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F489</f>
        <v>12500</v>
      </c>
      <c r="G492" s="18">
        <f>G489</f>
        <v>17100</v>
      </c>
      <c r="H492" s="18">
        <v>239168.76</v>
      </c>
      <c r="I492" s="18"/>
      <c r="J492" s="18"/>
      <c r="K492" s="53">
        <f t="shared" si="34"/>
        <v>268768.76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512500</v>
      </c>
      <c r="G493" s="42">
        <f>SUM(G491:G492)</f>
        <v>397100</v>
      </c>
      <c r="H493" s="42">
        <f>SUM(H491:H492)</f>
        <v>264168.76</v>
      </c>
      <c r="I493" s="42">
        <f>SUM(I491:I492)</f>
        <v>0</v>
      </c>
      <c r="J493" s="42">
        <f>SUM(J491:J492)</f>
        <v>0</v>
      </c>
      <c r="K493" s="42">
        <f t="shared" si="34"/>
        <v>1173768.76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1671387.05</v>
      </c>
      <c r="G497" s="144">
        <v>1699127.35</v>
      </c>
      <c r="H497" s="144">
        <v>1671387.05</v>
      </c>
      <c r="I497" s="144">
        <f>F497+G497-H497</f>
        <v>1699127.3500000003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F269+F190</f>
        <v>1464155.1099999999</v>
      </c>
      <c r="G511" s="18">
        <f t="shared" si="35"/>
        <v>446126.04</v>
      </c>
      <c r="H511" s="18">
        <f t="shared" si="35"/>
        <v>268709.40000000002</v>
      </c>
      <c r="I511" s="18">
        <f t="shared" si="35"/>
        <v>10426.34</v>
      </c>
      <c r="J511" s="18">
        <f t="shared" si="35"/>
        <v>10086.76</v>
      </c>
      <c r="K511" s="18">
        <f t="shared" si="35"/>
        <v>2477.06</v>
      </c>
      <c r="L511" s="88">
        <f>SUM(F511:K511)</f>
        <v>2201980.7099999995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</f>
        <v>976946.75</v>
      </c>
      <c r="G512" s="18">
        <f t="shared" si="36"/>
        <v>350864.44</v>
      </c>
      <c r="H512" s="18">
        <f t="shared" si="36"/>
        <v>240178.14</v>
      </c>
      <c r="I512" s="18">
        <f t="shared" si="36"/>
        <v>7581.26</v>
      </c>
      <c r="J512" s="18">
        <f t="shared" si="36"/>
        <v>4428.57</v>
      </c>
      <c r="K512" s="18">
        <f t="shared" si="36"/>
        <v>2183.87</v>
      </c>
      <c r="L512" s="88">
        <f>SUM(F512:K512)</f>
        <v>1582183.0300000003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</f>
        <v>1412907.6800000002</v>
      </c>
      <c r="G513" s="18">
        <f t="shared" si="37"/>
        <v>548893.78</v>
      </c>
      <c r="H513" s="18">
        <f t="shared" si="37"/>
        <v>497913.81</v>
      </c>
      <c r="I513" s="18">
        <f t="shared" si="37"/>
        <v>9115.35</v>
      </c>
      <c r="J513" s="18">
        <f t="shared" si="37"/>
        <v>690.63</v>
      </c>
      <c r="K513" s="18">
        <f t="shared" si="37"/>
        <v>7271.74</v>
      </c>
      <c r="L513" s="88">
        <f>SUM(F513:K513)</f>
        <v>2476792.9900000002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3854009.54</v>
      </c>
      <c r="G514" s="108">
        <f t="shared" ref="G514:L514" si="38">SUM(G511:G513)</f>
        <v>1345884.26</v>
      </c>
      <c r="H514" s="108">
        <f t="shared" si="38"/>
        <v>1006801.3500000001</v>
      </c>
      <c r="I514" s="108">
        <f t="shared" si="38"/>
        <v>27122.949999999997</v>
      </c>
      <c r="J514" s="108">
        <f t="shared" si="38"/>
        <v>15205.96</v>
      </c>
      <c r="K514" s="108">
        <f t="shared" si="38"/>
        <v>11932.67</v>
      </c>
      <c r="L514" s="89">
        <f t="shared" si="38"/>
        <v>6260956.7300000004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329567.93</v>
      </c>
      <c r="G516" s="18">
        <v>139432.59</v>
      </c>
      <c r="H516" s="18">
        <v>63934.09</v>
      </c>
      <c r="I516" s="18">
        <v>7110.21</v>
      </c>
      <c r="J516" s="18">
        <v>4621.3900000000003</v>
      </c>
      <c r="K516" s="18">
        <v>183.59</v>
      </c>
      <c r="L516" s="88">
        <f>SUM(F516:K516)</f>
        <v>544849.79999999993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261363.95</v>
      </c>
      <c r="G517" s="18">
        <v>81726.41</v>
      </c>
      <c r="H517" s="18">
        <v>37956.1</v>
      </c>
      <c r="I517" s="18">
        <v>1846.47</v>
      </c>
      <c r="J517" s="18"/>
      <c r="K517" s="18">
        <v>108.99</v>
      </c>
      <c r="L517" s="88">
        <f>SUM(F517:K517)</f>
        <v>383001.91999999993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320801.87</v>
      </c>
      <c r="G518" s="18">
        <v>134624.29</v>
      </c>
      <c r="H518" s="18">
        <v>54817</v>
      </c>
      <c r="I518" s="18">
        <v>2497.67</v>
      </c>
      <c r="J518" s="18"/>
      <c r="K518" s="18">
        <v>157.41999999999999</v>
      </c>
      <c r="L518" s="88">
        <f>SUM(F518:K518)</f>
        <v>512898.25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911733.75</v>
      </c>
      <c r="G519" s="89">
        <f t="shared" ref="G519:L519" si="39">SUM(G516:G518)</f>
        <v>355783.29000000004</v>
      </c>
      <c r="H519" s="89">
        <f t="shared" si="39"/>
        <v>156707.19</v>
      </c>
      <c r="I519" s="89">
        <f t="shared" si="39"/>
        <v>11454.35</v>
      </c>
      <c r="J519" s="89">
        <f t="shared" si="39"/>
        <v>4621.3900000000003</v>
      </c>
      <c r="K519" s="89">
        <f t="shared" si="39"/>
        <v>450</v>
      </c>
      <c r="L519" s="89">
        <f t="shared" si="39"/>
        <v>1440749.9699999997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41995.8</v>
      </c>
      <c r="G521" s="18">
        <v>11785.48</v>
      </c>
      <c r="H521" s="18">
        <v>8.4600000000000009</v>
      </c>
      <c r="I521" s="18">
        <v>922.63</v>
      </c>
      <c r="J521" s="18"/>
      <c r="K521" s="18">
        <f>375*0.27</f>
        <v>101.25</v>
      </c>
      <c r="L521" s="88">
        <f>SUM(F521:K521)</f>
        <v>54813.619999999995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36981.379999999997</v>
      </c>
      <c r="G522" s="18">
        <v>10378.26</v>
      </c>
      <c r="H522" s="18">
        <v>7.45</v>
      </c>
      <c r="I522" s="18">
        <v>812.47</v>
      </c>
      <c r="J522" s="18"/>
      <c r="K522" s="18">
        <f>375*0.24</f>
        <v>90</v>
      </c>
      <c r="L522" s="88">
        <f>SUM(F522:K522)</f>
        <v>48269.56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77410.17</v>
      </c>
      <c r="G523" s="18">
        <v>21723.98</v>
      </c>
      <c r="H523" s="18">
        <v>15.59</v>
      </c>
      <c r="I523" s="18">
        <v>1700.68</v>
      </c>
      <c r="J523" s="18"/>
      <c r="K523" s="18">
        <f>375*0.49</f>
        <v>183.75</v>
      </c>
      <c r="L523" s="88">
        <f>SUM(F523:K523)</f>
        <v>101034.16999999998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156387.34999999998</v>
      </c>
      <c r="G524" s="89">
        <f t="shared" ref="G524:L524" si="40">SUM(G521:G523)</f>
        <v>43887.72</v>
      </c>
      <c r="H524" s="89">
        <f t="shared" si="40"/>
        <v>31.5</v>
      </c>
      <c r="I524" s="89">
        <f t="shared" si="40"/>
        <v>3435.7799999999997</v>
      </c>
      <c r="J524" s="89">
        <f t="shared" si="40"/>
        <v>0</v>
      </c>
      <c r="K524" s="89">
        <f t="shared" si="40"/>
        <v>375</v>
      </c>
      <c r="L524" s="89">
        <f t="shared" si="40"/>
        <v>204117.34999999998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22005.3*0.27</f>
        <v>5941.4310000000005</v>
      </c>
      <c r="I526" s="18"/>
      <c r="J526" s="18"/>
      <c r="K526" s="18"/>
      <c r="L526" s="88">
        <f>SUM(F526:K526)</f>
        <v>5941.4310000000005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22005.3*0.24</f>
        <v>5281.2719999999999</v>
      </c>
      <c r="I527" s="18"/>
      <c r="J527" s="18"/>
      <c r="K527" s="18"/>
      <c r="L527" s="88">
        <f>SUM(F527:K527)</f>
        <v>5281.2719999999999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22005.3*0.49</f>
        <v>10782.597</v>
      </c>
      <c r="I528" s="18"/>
      <c r="J528" s="18"/>
      <c r="K528" s="18"/>
      <c r="L528" s="88">
        <f>SUM(F528:K528)</f>
        <v>10782.597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22005.300000000003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22005.300000000003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105901.13</v>
      </c>
      <c r="I531" s="18"/>
      <c r="J531" s="18"/>
      <c r="K531" s="18"/>
      <c r="L531" s="88">
        <f>SUM(F531:K531)</f>
        <v>105901.13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93256.22</v>
      </c>
      <c r="I532" s="18"/>
      <c r="J532" s="18"/>
      <c r="K532" s="18"/>
      <c r="L532" s="88">
        <f>SUM(F532:K532)</f>
        <v>93256.22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195205.81</v>
      </c>
      <c r="I533" s="18"/>
      <c r="J533" s="18"/>
      <c r="K533" s="18"/>
      <c r="L533" s="88">
        <f>SUM(F533:K533)</f>
        <v>195205.81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394363.16000000003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394363.16000000003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4922130.6399999997</v>
      </c>
      <c r="G535" s="89">
        <f t="shared" ref="G535:L535" si="43">G514+G519+G524+G529+G534</f>
        <v>1745555.27</v>
      </c>
      <c r="H535" s="89">
        <f t="shared" si="43"/>
        <v>1579908.5</v>
      </c>
      <c r="I535" s="89">
        <f t="shared" si="43"/>
        <v>42013.079999999994</v>
      </c>
      <c r="J535" s="89">
        <f t="shared" si="43"/>
        <v>19827.349999999999</v>
      </c>
      <c r="K535" s="89">
        <f t="shared" si="43"/>
        <v>12757.67</v>
      </c>
      <c r="L535" s="89">
        <f t="shared" si="43"/>
        <v>8322192.5099999998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2201980.7099999995</v>
      </c>
      <c r="G539" s="87">
        <f>L516</f>
        <v>544849.79999999993</v>
      </c>
      <c r="H539" s="87">
        <f>L521</f>
        <v>54813.619999999995</v>
      </c>
      <c r="I539" s="87">
        <f>L526</f>
        <v>5941.4310000000005</v>
      </c>
      <c r="J539" s="87">
        <f>L531</f>
        <v>105901.13</v>
      </c>
      <c r="K539" s="87">
        <f>SUM(F539:J539)</f>
        <v>2913486.6909999992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1582183.0300000003</v>
      </c>
      <c r="G540" s="87">
        <f>L517</f>
        <v>383001.91999999993</v>
      </c>
      <c r="H540" s="87">
        <f>L522</f>
        <v>48269.56</v>
      </c>
      <c r="I540" s="87">
        <f>L527</f>
        <v>5281.2719999999999</v>
      </c>
      <c r="J540" s="87">
        <f>L532</f>
        <v>93256.22</v>
      </c>
      <c r="K540" s="87">
        <f>SUM(F540:J540)</f>
        <v>2111992.0020000003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2476792.9900000002</v>
      </c>
      <c r="G541" s="87">
        <f>L518</f>
        <v>512898.25</v>
      </c>
      <c r="H541" s="87">
        <f>L523</f>
        <v>101034.16999999998</v>
      </c>
      <c r="I541" s="87">
        <f>L528</f>
        <v>10782.597</v>
      </c>
      <c r="J541" s="87">
        <f>L533</f>
        <v>195205.81</v>
      </c>
      <c r="K541" s="87">
        <f>SUM(F541:J541)</f>
        <v>3296713.8170000003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6260956.7300000004</v>
      </c>
      <c r="G542" s="89">
        <f t="shared" si="44"/>
        <v>1440749.9699999997</v>
      </c>
      <c r="H542" s="89">
        <f t="shared" si="44"/>
        <v>204117.34999999998</v>
      </c>
      <c r="I542" s="89">
        <f t="shared" si="44"/>
        <v>22005.300000000003</v>
      </c>
      <c r="J542" s="89">
        <f t="shared" si="44"/>
        <v>394363.16000000003</v>
      </c>
      <c r="K542" s="89">
        <f t="shared" si="44"/>
        <v>8322192.5099999998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196429.8</v>
      </c>
      <c r="G552" s="18">
        <v>67764.52</v>
      </c>
      <c r="H552" s="18"/>
      <c r="I552" s="18">
        <v>2058.1799999999998</v>
      </c>
      <c r="J552" s="18"/>
      <c r="K552" s="18"/>
      <c r="L552" s="88">
        <f>SUM(F552:K552)</f>
        <v>266252.5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57995.3</v>
      </c>
      <c r="G553" s="18">
        <v>9922.56</v>
      </c>
      <c r="H553" s="18"/>
      <c r="I553" s="18">
        <v>1221.8900000000001</v>
      </c>
      <c r="J553" s="18"/>
      <c r="K553" s="18"/>
      <c r="L553" s="88">
        <f>SUM(F553:K553)</f>
        <v>69139.75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27762.71</v>
      </c>
      <c r="G554" s="18">
        <v>4441.8599999999997</v>
      </c>
      <c r="H554" s="18"/>
      <c r="I554" s="18">
        <v>1764.67</v>
      </c>
      <c r="J554" s="18"/>
      <c r="K554" s="18"/>
      <c r="L554" s="88">
        <f>SUM(F554:K554)</f>
        <v>33969.24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282187.81</v>
      </c>
      <c r="G555" s="89">
        <f t="shared" si="46"/>
        <v>82128.94</v>
      </c>
      <c r="H555" s="89">
        <f t="shared" si="46"/>
        <v>0</v>
      </c>
      <c r="I555" s="89">
        <f t="shared" si="46"/>
        <v>5044.74</v>
      </c>
      <c r="J555" s="89">
        <f t="shared" si="46"/>
        <v>0</v>
      </c>
      <c r="K555" s="89">
        <f t="shared" si="46"/>
        <v>0</v>
      </c>
      <c r="L555" s="89">
        <f t="shared" si="46"/>
        <v>369361.49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282187.81</v>
      </c>
      <c r="G561" s="89">
        <f t="shared" ref="G561:L561" si="48">G550+G555+G560</f>
        <v>82128.94</v>
      </c>
      <c r="H561" s="89">
        <f t="shared" si="48"/>
        <v>0</v>
      </c>
      <c r="I561" s="89">
        <f t="shared" si="48"/>
        <v>5044.74</v>
      </c>
      <c r="J561" s="89">
        <f t="shared" si="48"/>
        <v>0</v>
      </c>
      <c r="K561" s="89">
        <f t="shared" si="48"/>
        <v>0</v>
      </c>
      <c r="L561" s="89">
        <f t="shared" si="48"/>
        <v>369361.49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6649.99*0.27</f>
        <v>1795.4973</v>
      </c>
      <c r="G569" s="18">
        <f>6649.99*0.24</f>
        <v>1595.9975999999999</v>
      </c>
      <c r="H569" s="18">
        <f>6649.99*0.49</f>
        <v>3258.4950999999996</v>
      </c>
      <c r="I569" s="87">
        <f t="shared" si="49"/>
        <v>6649.99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728023.31*0.27</f>
        <v>196566.29370000004</v>
      </c>
      <c r="G572" s="18">
        <f>728023.31*0.24</f>
        <v>174725.5944</v>
      </c>
      <c r="H572" s="18">
        <f>728023.31*0.49</f>
        <v>356731.42190000002</v>
      </c>
      <c r="I572" s="87">
        <f t="shared" si="49"/>
        <v>728023.31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23797.5</v>
      </c>
      <c r="I574" s="87">
        <f t="shared" si="49"/>
        <v>23797.5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404787.33+12746.75</f>
        <v>417534.08</v>
      </c>
      <c r="I581" s="18">
        <f>266307.45+8386.02</f>
        <v>274693.47000000003</v>
      </c>
      <c r="J581" s="18">
        <f>394135.03+12411.31</f>
        <v>406546.34</v>
      </c>
      <c r="K581" s="104">
        <f t="shared" ref="K581:K587" si="50">SUM(H581:J581)</f>
        <v>1098773.8900000001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105901.13</v>
      </c>
      <c r="I582" s="18">
        <v>93256.22</v>
      </c>
      <c r="J582" s="18">
        <v>195205.81</v>
      </c>
      <c r="K582" s="104">
        <f t="shared" si="50"/>
        <v>394363.16000000003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2426.4+253.4</f>
        <v>2679.8</v>
      </c>
      <c r="K583" s="104">
        <f t="shared" si="50"/>
        <v>2679.8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5844.87</v>
      </c>
      <c r="J584" s="18">
        <f>11477.13+55475</f>
        <v>66952.13</v>
      </c>
      <c r="K584" s="104">
        <f t="shared" si="50"/>
        <v>72797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50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523435.21</v>
      </c>
      <c r="I588" s="108">
        <f>SUM(I581:I587)</f>
        <v>373794.56000000006</v>
      </c>
      <c r="J588" s="108">
        <f>SUM(J581:J587)</f>
        <v>671384.08000000007</v>
      </c>
      <c r="K588" s="108">
        <f>SUM(K581:K587)</f>
        <v>1568613.8500000003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207861.3-4420.37</f>
        <v>203440.93</v>
      </c>
      <c r="I594" s="18">
        <f>136522.95-2587.53</f>
        <v>133935.42000000001</v>
      </c>
      <c r="J594" s="18">
        <f>162218.7-3773.49</f>
        <v>158445.21000000002</v>
      </c>
      <c r="K594" s="104">
        <f>SUM(H594:J594)</f>
        <v>495821.56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203440.93</v>
      </c>
      <c r="I595" s="108">
        <f>SUM(I592:I594)</f>
        <v>133935.42000000001</v>
      </c>
      <c r="J595" s="108">
        <f>SUM(J592:J594)</f>
        <v>158445.21000000002</v>
      </c>
      <c r="K595" s="108">
        <f>SUM(K592:K594)</f>
        <v>495821.56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85990.38*0.27</f>
        <v>23217.402600000001</v>
      </c>
      <c r="G601" s="18">
        <f>10159.21*0.27</f>
        <v>2742.9866999999999</v>
      </c>
      <c r="H601" s="18"/>
      <c r="I601" s="18"/>
      <c r="J601" s="18"/>
      <c r="K601" s="18"/>
      <c r="L601" s="88">
        <f>SUM(F601:K601)</f>
        <v>25960.389300000003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85990.38*0.24</f>
        <v>20637.691200000001</v>
      </c>
      <c r="G602" s="18">
        <f>10159.21*0.24</f>
        <v>2438.2103999999995</v>
      </c>
      <c r="H602" s="18"/>
      <c r="I602" s="18"/>
      <c r="J602" s="18"/>
      <c r="K602" s="18"/>
      <c r="L602" s="88">
        <f>SUM(F602:K602)</f>
        <v>23075.901600000001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85990.38*0.49</f>
        <v>42135.286200000002</v>
      </c>
      <c r="G603" s="18">
        <f>10159.21*0.49</f>
        <v>4978.0128999999997</v>
      </c>
      <c r="H603" s="18"/>
      <c r="I603" s="18"/>
      <c r="J603" s="18"/>
      <c r="K603" s="18"/>
      <c r="L603" s="88">
        <f>SUM(F603:K603)</f>
        <v>47113.299100000004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85990.38</v>
      </c>
      <c r="G604" s="108">
        <f t="shared" si="51"/>
        <v>10159.209999999999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96149.590000000011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2066610.77</v>
      </c>
      <c r="H607" s="109">
        <f>SUM(F44)</f>
        <v>2066610.77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411403.34</v>
      </c>
      <c r="H608" s="109">
        <f>SUM(G44)</f>
        <v>411403.34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177770.96000000002</v>
      </c>
      <c r="H609" s="109">
        <f>SUM(H44)</f>
        <v>177770.96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666765.40999999992</v>
      </c>
      <c r="H611" s="109">
        <f>SUM(J44)</f>
        <v>666765.41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560893.11</v>
      </c>
      <c r="H612" s="109">
        <f>F466</f>
        <v>560893.1099999994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375495.27</v>
      </c>
      <c r="H613" s="109">
        <f>G466</f>
        <v>375495.27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161301.12</v>
      </c>
      <c r="H614" s="109">
        <f>H466</f>
        <v>161301.11999999965</v>
      </c>
      <c r="I614" s="121" t="s">
        <v>110</v>
      </c>
      <c r="J614" s="109">
        <f t="shared" si="52"/>
        <v>3.4924596548080444E-10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664725.13</v>
      </c>
      <c r="H616" s="109">
        <f>J466</f>
        <v>664725.13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38304990.18</v>
      </c>
      <c r="H617" s="104">
        <f>SUM(F458)</f>
        <v>38304990.18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1132727.93</v>
      </c>
      <c r="H618" s="104">
        <f>SUM(G458)</f>
        <v>1132727.9300000002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2815597.58</v>
      </c>
      <c r="H619" s="104">
        <f>SUM(H458)</f>
        <v>2815597.5799999996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249892.27</v>
      </c>
      <c r="H621" s="104">
        <f>SUM(J458)</f>
        <v>249892.27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39741321.520000003</v>
      </c>
      <c r="H622" s="104">
        <f>SUM(F462)</f>
        <v>39741321.520000003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2745339.1999999997</v>
      </c>
      <c r="H623" s="104">
        <f>SUM(H462)</f>
        <v>2745339.2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434898.56999999995</v>
      </c>
      <c r="H624" s="104">
        <f>I361</f>
        <v>434898.57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1166393.3599999999</v>
      </c>
      <c r="H625" s="104">
        <f>SUM(G462)</f>
        <v>1166393.3600000001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249892.26999999996</v>
      </c>
      <c r="H627" s="164">
        <f>SUM(J458)</f>
        <v>249892.27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145528.85999999999</v>
      </c>
      <c r="H628" s="164">
        <f>SUM(J462)</f>
        <v>145528.85999999999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426998.12</v>
      </c>
      <c r="H629" s="104">
        <f>SUM(F451)</f>
        <v>426998.12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239011.21</v>
      </c>
      <c r="H630" s="104">
        <f>SUM(G451)</f>
        <v>239011.21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756.08</v>
      </c>
      <c r="H631" s="104">
        <f>SUM(H451)</f>
        <v>756.08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666765.40999999992</v>
      </c>
      <c r="H632" s="104">
        <f>SUM(I451)</f>
        <v>666765.41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4363.41</v>
      </c>
      <c r="H634" s="104">
        <f>H400</f>
        <v>4363.41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249892.27</v>
      </c>
      <c r="H636" s="104">
        <f>L400</f>
        <v>249892.26999999996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1568613.8500000003</v>
      </c>
      <c r="H637" s="104">
        <f>L200+L218+L236</f>
        <v>1568613.85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495821.56</v>
      </c>
      <c r="H638" s="104">
        <f>(J249+J330)-(J247+J328)</f>
        <v>495821.56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523435.21</v>
      </c>
      <c r="H639" s="104">
        <f>H588</f>
        <v>523435.21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373794.56</v>
      </c>
      <c r="H640" s="104">
        <f>I588</f>
        <v>373794.56000000006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671384.08000000007</v>
      </c>
      <c r="H641" s="104">
        <f>J588</f>
        <v>671384.08000000007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15530706.559999999</v>
      </c>
      <c r="G650" s="19">
        <f>(L221+L301+L351)</f>
        <v>9493087.620000001</v>
      </c>
      <c r="H650" s="19">
        <f>(L239+L320+L352)</f>
        <v>15562145.869999999</v>
      </c>
      <c r="I650" s="19">
        <f>SUM(F650:H650)</f>
        <v>40585940.049999997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381358.47213735827</v>
      </c>
      <c r="G651" s="19">
        <f>(L351/IF(SUM(L350:L352)=0,1,SUM(L350:L352))*(SUM(G89:G102)))</f>
        <v>200046.33905341176</v>
      </c>
      <c r="H651" s="19">
        <f>(L352/IF(SUM(L350:L352)=0,1,SUM(L350:L352))*(SUM(G89:G102)))</f>
        <v>260219.15880923005</v>
      </c>
      <c r="I651" s="19">
        <f>SUM(F651:H651)</f>
        <v>841623.97000000009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523435.21</v>
      </c>
      <c r="G652" s="19">
        <f>(L218+L298)-(J218+J298)</f>
        <v>373794.56</v>
      </c>
      <c r="H652" s="19">
        <f>(L236+L317)-(J236+J317)</f>
        <v>671384.08000000007</v>
      </c>
      <c r="I652" s="19">
        <f>SUM(F652:H652)</f>
        <v>1568613.85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427763.1103</v>
      </c>
      <c r="G653" s="200">
        <f>SUM(G565:G577)+SUM(I592:I594)+L602</f>
        <v>333332.91359999997</v>
      </c>
      <c r="H653" s="200">
        <f>SUM(H565:H577)+SUM(J592:J594)+L603</f>
        <v>589345.92610000004</v>
      </c>
      <c r="I653" s="19">
        <f>SUM(F653:H653)</f>
        <v>1350441.95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14198149.767562641</v>
      </c>
      <c r="G654" s="19">
        <f>G650-SUM(G651:G653)</f>
        <v>8585913.8073465899</v>
      </c>
      <c r="H654" s="19">
        <f>H650-SUM(H651:H653)</f>
        <v>14041196.705090769</v>
      </c>
      <c r="I654" s="19">
        <f>I650-SUM(I651:I653)</f>
        <v>36825260.279999994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1623.78</v>
      </c>
      <c r="G655" s="249">
        <v>994.93</v>
      </c>
      <c r="H655" s="249">
        <v>1438.78</v>
      </c>
      <c r="I655" s="19">
        <f>SUM(F655:H655)</f>
        <v>4057.49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8743.89</v>
      </c>
      <c r="G657" s="19">
        <f>ROUND(G654/G655,2)</f>
        <v>8629.67</v>
      </c>
      <c r="H657" s="19">
        <f>ROUND(H654/H655,2)</f>
        <v>9759.1</v>
      </c>
      <c r="I657" s="19">
        <f>ROUND(I654/I655,2)</f>
        <v>9075.8700000000008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25.42</v>
      </c>
      <c r="I660" s="19">
        <f>SUM(F660:H660)</f>
        <v>25.42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8743.89</v>
      </c>
      <c r="G662" s="19">
        <f>ROUND((G654+G659)/(G655+G660),2)</f>
        <v>8629.67</v>
      </c>
      <c r="H662" s="19">
        <f>ROUND((H654+H659)/(H655+H660),2)</f>
        <v>9589.67</v>
      </c>
      <c r="I662" s="19">
        <f>ROUND((I654+I659)/(I655+I660),2)</f>
        <v>9019.3700000000008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C1FA-FB33-4EFA-9FD3-8B8457D76D5A}">
  <sheetPr>
    <tabColor indexed="20"/>
  </sheetPr>
  <dimension ref="A1:C52"/>
  <sheetViews>
    <sheetView workbookViewId="0">
      <selection activeCell="H18" sqref="H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Hudson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10692824.59</v>
      </c>
      <c r="C9" s="230">
        <f>'DOE25'!G189+'DOE25'!G207+'DOE25'!G225+'DOE25'!G268+'DOE25'!G287+'DOE25'!G306</f>
        <v>4162068.31</v>
      </c>
    </row>
    <row r="10" spans="1:3" x14ac:dyDescent="0.2">
      <c r="A10" t="s">
        <v>813</v>
      </c>
      <c r="B10" s="241">
        <f>9085932.95+279146.68</f>
        <v>9365079.629999999</v>
      </c>
      <c r="C10" s="241">
        <f>SUM(B10/B13)*C9</f>
        <v>3645257.6978679798</v>
      </c>
    </row>
    <row r="11" spans="1:3" x14ac:dyDescent="0.2">
      <c r="A11" t="s">
        <v>814</v>
      </c>
      <c r="B11" s="241">
        <f>96736.31+153210.43</f>
        <v>249946.74</v>
      </c>
      <c r="C11" s="241">
        <f>SUM(B11/B13)*C9</f>
        <v>97289.111682866336</v>
      </c>
    </row>
    <row r="12" spans="1:3" x14ac:dyDescent="0.2">
      <c r="A12" t="s">
        <v>815</v>
      </c>
      <c r="B12" s="241">
        <f>639190.36+88876.45+227273.57+122457.84</f>
        <v>1077798.22</v>
      </c>
      <c r="C12" s="241">
        <f>SUM(B12/B13)*C9</f>
        <v>419521.50044915389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10692824.59</v>
      </c>
      <c r="C13" s="232">
        <f>SUM(C10:C12)</f>
        <v>4162068.31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3854009.54</v>
      </c>
      <c r="C18" s="230">
        <f>'DOE25'!G190+'DOE25'!G208+'DOE25'!G226+'DOE25'!G269+'DOE25'!G288+'DOE25'!G307</f>
        <v>1345884.26</v>
      </c>
    </row>
    <row r="19" spans="1:3" x14ac:dyDescent="0.2">
      <c r="A19" t="s">
        <v>813</v>
      </c>
      <c r="B19" s="241">
        <f>1414675.71+49362.6+173008.14</f>
        <v>1637046.4500000002</v>
      </c>
      <c r="C19" s="241">
        <f>SUM(B19/B22)*C18</f>
        <v>571683.85990655259</v>
      </c>
    </row>
    <row r="20" spans="1:3" x14ac:dyDescent="0.2">
      <c r="A20" t="s">
        <v>814</v>
      </c>
      <c r="B20" s="241">
        <f>1369360.94+15418+36627.78+196866.13</f>
        <v>1618272.85</v>
      </c>
      <c r="C20" s="241">
        <f>SUM(B20/B22)*C18</f>
        <v>565127.80640401354</v>
      </c>
    </row>
    <row r="21" spans="1:3" x14ac:dyDescent="0.2">
      <c r="A21" t="s">
        <v>815</v>
      </c>
      <c r="B21" s="241">
        <f>209413.9+144322.36+70474.01+174479.97</f>
        <v>598690.24</v>
      </c>
      <c r="C21" s="241">
        <f>SUM(B21/B22)*C18</f>
        <v>209072.593689434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3854009.54</v>
      </c>
      <c r="C22" s="232">
        <f>SUM(C19:C21)</f>
        <v>1345884.26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971599.19</v>
      </c>
      <c r="C27" s="235">
        <f>'DOE25'!G191+'DOE25'!G209+'DOE25'!G227+'DOE25'!G270+'DOE25'!G289+'DOE25'!G308</f>
        <v>347340.32</v>
      </c>
    </row>
    <row r="28" spans="1:3" x14ac:dyDescent="0.2">
      <c r="A28" t="s">
        <v>813</v>
      </c>
      <c r="B28" s="241">
        <f>601629.1</f>
        <v>601629.1</v>
      </c>
      <c r="C28" s="241">
        <f>SUM(B28/B31)*C27</f>
        <v>215078.44620096069</v>
      </c>
    </row>
    <row r="29" spans="1:3" x14ac:dyDescent="0.2">
      <c r="A29" t="s">
        <v>814</v>
      </c>
      <c r="B29" s="241">
        <v>102573.71</v>
      </c>
      <c r="C29" s="241">
        <f>SUM(B29/B31)*C27</f>
        <v>36669.426674786751</v>
      </c>
    </row>
    <row r="30" spans="1:3" x14ac:dyDescent="0.2">
      <c r="A30" t="s">
        <v>815</v>
      </c>
      <c r="B30" s="241">
        <f>216054+51342.38</f>
        <v>267396.38</v>
      </c>
      <c r="C30" s="241">
        <f>SUM(B30/B31)*C27</f>
        <v>95592.447124252547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971599.19</v>
      </c>
      <c r="C31" s="232">
        <f>SUM(C28:C30)</f>
        <v>347340.32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298479.53000000003</v>
      </c>
      <c r="C36" s="236">
        <f>'DOE25'!G192+'DOE25'!G210+'DOE25'!G228+'DOE25'!G271+'DOE25'!G290+'DOE25'!G309</f>
        <v>38125.78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B36</f>
        <v>298479.53000000003</v>
      </c>
      <c r="C39" s="241">
        <f>C36</f>
        <v>38125.78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298479.53000000003</v>
      </c>
      <c r="C40" s="232">
        <f>SUM(C37:C39)</f>
        <v>38125.78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DA4D-DBC3-4A93-8277-F6AB1742873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Hudson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23046910.02</v>
      </c>
      <c r="D5" s="20">
        <f>SUM('DOE25'!L189:L192)+SUM('DOE25'!L207:L210)+SUM('DOE25'!L225:L228)-F5-G5</f>
        <v>22815943.130000003</v>
      </c>
      <c r="E5" s="244"/>
      <c r="F5" s="256">
        <f>SUM('DOE25'!J189:J192)+SUM('DOE25'!J207:J210)+SUM('DOE25'!J225:J228)</f>
        <v>216759.9</v>
      </c>
      <c r="G5" s="53">
        <f>SUM('DOE25'!K189:K192)+SUM('DOE25'!K207:K210)+SUM('DOE25'!K225:K228)</f>
        <v>14206.99</v>
      </c>
      <c r="H5" s="260"/>
    </row>
    <row r="6" spans="1:9" x14ac:dyDescent="0.2">
      <c r="A6" s="32">
        <v>2100</v>
      </c>
      <c r="B6" t="s">
        <v>835</v>
      </c>
      <c r="C6" s="246">
        <f t="shared" si="0"/>
        <v>3016758.3899999997</v>
      </c>
      <c r="D6" s="20">
        <f>'DOE25'!L194+'DOE25'!L212+'DOE25'!L230-F6-G6</f>
        <v>2992255.5499999993</v>
      </c>
      <c r="E6" s="244"/>
      <c r="F6" s="256">
        <f>'DOE25'!J194+'DOE25'!J212+'DOE25'!J230</f>
        <v>8992.24</v>
      </c>
      <c r="G6" s="53">
        <f>'DOE25'!K194+'DOE25'!K212+'DOE25'!K230</f>
        <v>15510.599999999999</v>
      </c>
      <c r="H6" s="260"/>
    </row>
    <row r="7" spans="1:9" x14ac:dyDescent="0.2">
      <c r="A7" s="32">
        <v>2200</v>
      </c>
      <c r="B7" t="s">
        <v>868</v>
      </c>
      <c r="C7" s="246">
        <f t="shared" si="0"/>
        <v>964719.69</v>
      </c>
      <c r="D7" s="20">
        <f>'DOE25'!L195+'DOE25'!L213+'DOE25'!L231-F7-G7</f>
        <v>893529.42999999993</v>
      </c>
      <c r="E7" s="244"/>
      <c r="F7" s="256">
        <f>'DOE25'!J195+'DOE25'!J213+'DOE25'!J231</f>
        <v>70389.260000000009</v>
      </c>
      <c r="G7" s="53">
        <f>'DOE25'!K195+'DOE25'!K213+'DOE25'!K231</f>
        <v>801</v>
      </c>
      <c r="H7" s="260"/>
    </row>
    <row r="8" spans="1:9" x14ac:dyDescent="0.2">
      <c r="A8" s="32">
        <v>2300</v>
      </c>
      <c r="B8" t="s">
        <v>836</v>
      </c>
      <c r="C8" s="246">
        <f t="shared" si="0"/>
        <v>203742.34999999998</v>
      </c>
      <c r="D8" s="244"/>
      <c r="E8" s="20">
        <f>'DOE25'!L196+'DOE25'!L214+'DOE25'!L232-F8-G8-D9-D11</f>
        <v>193628.34999999998</v>
      </c>
      <c r="F8" s="256">
        <f>'DOE25'!J196+'DOE25'!J214+'DOE25'!J232</f>
        <v>2745.01</v>
      </c>
      <c r="G8" s="53">
        <f>'DOE25'!K196+'DOE25'!K214+'DOE25'!K232</f>
        <v>7368.99</v>
      </c>
      <c r="H8" s="260"/>
    </row>
    <row r="9" spans="1:9" x14ac:dyDescent="0.2">
      <c r="A9" s="32">
        <v>2310</v>
      </c>
      <c r="B9" t="s">
        <v>852</v>
      </c>
      <c r="C9" s="246">
        <f t="shared" si="0"/>
        <v>143527.60999999999</v>
      </c>
      <c r="D9" s="245">
        <v>143527.60999999999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25442.13</v>
      </c>
      <c r="D10" s="244"/>
      <c r="E10" s="245">
        <v>25442.13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378964.11</v>
      </c>
      <c r="D11" s="245">
        <v>378964.11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2497018.48</v>
      </c>
      <c r="D12" s="20">
        <f>'DOE25'!L197+'DOE25'!L215+'DOE25'!L233-F12-G12</f>
        <v>2461867.0299999998</v>
      </c>
      <c r="E12" s="244"/>
      <c r="F12" s="256">
        <f>'DOE25'!J197+'DOE25'!J215+'DOE25'!J233</f>
        <v>23120.95</v>
      </c>
      <c r="G12" s="53">
        <f>'DOE25'!K197+'DOE25'!K215+'DOE25'!K233</f>
        <v>12030.5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788929.99</v>
      </c>
      <c r="D13" s="244"/>
      <c r="E13" s="20">
        <f>'DOE25'!L198+'DOE25'!L216+'DOE25'!L234-F13-G13</f>
        <v>786416.22</v>
      </c>
      <c r="F13" s="256">
        <f>'DOE25'!J198+'DOE25'!J216+'DOE25'!J234</f>
        <v>2513.77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4123669.6100000003</v>
      </c>
      <c r="D14" s="20">
        <f>'DOE25'!L199+'DOE25'!L217+'DOE25'!L235-F14-G14</f>
        <v>4064816.87</v>
      </c>
      <c r="E14" s="244"/>
      <c r="F14" s="256">
        <f>'DOE25'!J199+'DOE25'!J217+'DOE25'!J235</f>
        <v>58852.740000000005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1568613.85</v>
      </c>
      <c r="D15" s="20">
        <f>'DOE25'!L200+'DOE25'!L218+'DOE25'!L236-F15-G15</f>
        <v>1568613.85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228653.07</v>
      </c>
      <c r="D22" s="244"/>
      <c r="E22" s="244"/>
      <c r="F22" s="256">
        <f>'DOE25'!L247+'DOE25'!L328</f>
        <v>228653.07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2679814.35</v>
      </c>
      <c r="D25" s="244"/>
      <c r="E25" s="244"/>
      <c r="F25" s="259"/>
      <c r="G25" s="257"/>
      <c r="H25" s="258">
        <f>'DOE25'!L252+'DOE25'!L253+'DOE25'!L333+'DOE25'!L334</f>
        <v>2679814.35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798714.2899999998</v>
      </c>
      <c r="D29" s="20">
        <f>'DOE25'!L350+'DOE25'!L351+'DOE25'!L352-'DOE25'!I359-F29-G29</f>
        <v>643785.42999999982</v>
      </c>
      <c r="E29" s="244"/>
      <c r="F29" s="256">
        <f>'DOE25'!J350+'DOE25'!J351+'DOE25'!J352</f>
        <v>146946.35999999999</v>
      </c>
      <c r="G29" s="53">
        <f>'DOE25'!K350+'DOE25'!K351+'DOE25'!K352</f>
        <v>7982.5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2745339.1999999997</v>
      </c>
      <c r="D31" s="20">
        <f>'DOE25'!L282+'DOE25'!L301+'DOE25'!L320+'DOE25'!L325+'DOE25'!L326+'DOE25'!L327-F31-G31</f>
        <v>2592065.9099999997</v>
      </c>
      <c r="E31" s="244"/>
      <c r="F31" s="256">
        <f>'DOE25'!J282+'DOE25'!J301+'DOE25'!J320+'DOE25'!J325+'DOE25'!J326+'DOE25'!J327</f>
        <v>112447.69</v>
      </c>
      <c r="G31" s="53">
        <f>'DOE25'!K282+'DOE25'!K301+'DOE25'!K320+'DOE25'!K325+'DOE25'!K326+'DOE25'!K327</f>
        <v>40825.599999999991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38555368.920000002</v>
      </c>
      <c r="E33" s="247">
        <f>SUM(E5:E31)</f>
        <v>1005486.7</v>
      </c>
      <c r="F33" s="247">
        <f>SUM(F5:F31)</f>
        <v>871420.99</v>
      </c>
      <c r="G33" s="247">
        <f>SUM(G5:G31)</f>
        <v>98726.18</v>
      </c>
      <c r="H33" s="247">
        <f>SUM(H5:H31)</f>
        <v>2679814.35</v>
      </c>
    </row>
    <row r="35" spans="2:8" ht="12" thickBot="1" x14ac:dyDescent="0.25">
      <c r="B35" s="254" t="s">
        <v>881</v>
      </c>
      <c r="D35" s="255">
        <f>E33</f>
        <v>1005486.7</v>
      </c>
      <c r="E35" s="250"/>
    </row>
    <row r="36" spans="2:8" ht="12" thickTop="1" x14ac:dyDescent="0.2">
      <c r="B36" t="s">
        <v>849</v>
      </c>
      <c r="D36" s="20">
        <f>D33</f>
        <v>38555368.920000002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28A7-0189-44E3-89D1-0820736C009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D36" sqref="D3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215319.72</v>
      </c>
      <c r="D9" s="95">
        <f>'DOE25'!G9</f>
        <v>389828.34</v>
      </c>
      <c r="E9" s="95">
        <f>'DOE25'!H9</f>
        <v>-260855.44</v>
      </c>
      <c r="F9" s="95">
        <f>'DOE25'!I9</f>
        <v>0</v>
      </c>
      <c r="G9" s="95">
        <f>'DOE25'!J9</f>
        <v>663330.19999999995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1086443.06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420009.04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329157.45</v>
      </c>
      <c r="D13" s="95">
        <f>'DOE25'!G13</f>
        <v>21575</v>
      </c>
      <c r="E13" s="95">
        <f>'DOE25'!H13</f>
        <v>436435.89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15681.5</v>
      </c>
      <c r="D14" s="95">
        <f>'DOE25'!G14</f>
        <v>0</v>
      </c>
      <c r="E14" s="95">
        <f>'DOE25'!H14</f>
        <v>2190.5100000000002</v>
      </c>
      <c r="F14" s="95">
        <f>'DOE25'!I14</f>
        <v>0</v>
      </c>
      <c r="G14" s="95">
        <f>'DOE25'!J14</f>
        <v>3435.21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2066610.77</v>
      </c>
      <c r="D19" s="41">
        <f>SUM(D9:D18)</f>
        <v>411403.34</v>
      </c>
      <c r="E19" s="41">
        <f>SUM(E9:E18)</f>
        <v>177770.96000000002</v>
      </c>
      <c r="F19" s="41">
        <f>SUM(F9:F18)</f>
        <v>0</v>
      </c>
      <c r="G19" s="41">
        <f>SUM(G9:G18)</f>
        <v>666765.40999999992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2040.28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169204.35</v>
      </c>
      <c r="D24" s="95">
        <f>'DOE25'!G25</f>
        <v>14754.1</v>
      </c>
      <c r="E24" s="95">
        <f>'DOE25'!H25</f>
        <v>-231.88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1336513.31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21153.97</v>
      </c>
      <c r="E30" s="95">
        <f>'DOE25'!H31</f>
        <v>16701.72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1505717.6600000001</v>
      </c>
      <c r="D32" s="41">
        <f>SUM(D22:D31)</f>
        <v>35908.07</v>
      </c>
      <c r="E32" s="41">
        <f>SUM(E22:E31)</f>
        <v>16469.84</v>
      </c>
      <c r="F32" s="41">
        <f>SUM(F22:F31)</f>
        <v>0</v>
      </c>
      <c r="G32" s="41">
        <f>SUM(G22:G31)</f>
        <v>2040.28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235551.98</v>
      </c>
      <c r="D36" s="95">
        <f>'DOE25'!G37</f>
        <v>227169.6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148325.67000000001</v>
      </c>
      <c r="E40" s="95">
        <f>'DOE25'!H41</f>
        <v>161301.12</v>
      </c>
      <c r="F40" s="95">
        <f>'DOE25'!I41</f>
        <v>0</v>
      </c>
      <c r="G40" s="95">
        <f>'DOE25'!J41</f>
        <v>664725.13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325341.13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560893.11</v>
      </c>
      <c r="D42" s="41">
        <f>SUM(D34:D41)</f>
        <v>375495.27</v>
      </c>
      <c r="E42" s="41">
        <f>SUM(E34:E41)</f>
        <v>161301.12</v>
      </c>
      <c r="F42" s="41">
        <f>SUM(F34:F41)</f>
        <v>0</v>
      </c>
      <c r="G42" s="41">
        <f>SUM(G34:G41)</f>
        <v>664725.13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2066610.77</v>
      </c>
      <c r="D43" s="41">
        <f>D42+D32</f>
        <v>411403.34</v>
      </c>
      <c r="E43" s="41">
        <f>E42+E32</f>
        <v>177770.96</v>
      </c>
      <c r="F43" s="41">
        <f>F42+F32</f>
        <v>0</v>
      </c>
      <c r="G43" s="41">
        <f>G42+G32</f>
        <v>666765.41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20642629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126306.11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19237.189999999999</v>
      </c>
      <c r="D51" s="95">
        <f>'DOE25'!G88</f>
        <v>4428.45</v>
      </c>
      <c r="E51" s="95">
        <f>'DOE25'!H88</f>
        <v>1248.2</v>
      </c>
      <c r="F51" s="95">
        <f>'DOE25'!I88</f>
        <v>0</v>
      </c>
      <c r="G51" s="95">
        <f>'DOE25'!J88</f>
        <v>4363.41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814126.19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313607.15000000002</v>
      </c>
      <c r="D53" s="95">
        <f>SUM('DOE25'!G90:G102)</f>
        <v>27497.780000000002</v>
      </c>
      <c r="E53" s="95">
        <f>SUM('DOE25'!H90:H102)</f>
        <v>292489.15000000002</v>
      </c>
      <c r="F53" s="95">
        <f>SUM('DOE25'!I90:I102)</f>
        <v>0</v>
      </c>
      <c r="G53" s="95">
        <f>SUM('DOE25'!J90:J102)</f>
        <v>145528.85999999999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459150.45</v>
      </c>
      <c r="D54" s="130">
        <f>SUM(D49:D53)</f>
        <v>846052.41999999993</v>
      </c>
      <c r="E54" s="130">
        <f>SUM(E49:E53)</f>
        <v>293737.35000000003</v>
      </c>
      <c r="F54" s="130">
        <f>SUM(F49:F53)</f>
        <v>0</v>
      </c>
      <c r="G54" s="130">
        <f>SUM(G49:G53)</f>
        <v>149892.26999999999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21101779.449999999</v>
      </c>
      <c r="D55" s="22">
        <f>D48+D54</f>
        <v>846052.41999999993</v>
      </c>
      <c r="E55" s="22">
        <f>E48+E54</f>
        <v>293737.35000000003</v>
      </c>
      <c r="F55" s="22">
        <f>F48+F54</f>
        <v>0</v>
      </c>
      <c r="G55" s="22">
        <f>G48+G54</f>
        <v>149892.26999999999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6701612.4400000004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6181024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2571199.56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15453836.000000002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325934.45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441369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307050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235566.42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162878.37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13008.47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1472798.2399999998</v>
      </c>
      <c r="D70" s="130">
        <f>SUM(D64:D69)</f>
        <v>13008.47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16926634.240000002</v>
      </c>
      <c r="D73" s="130">
        <f>SUM(D71:D72)+D70+D62</f>
        <v>13008.47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246111.63</v>
      </c>
      <c r="D80" s="95">
        <f>SUM('DOE25'!G145:G153)</f>
        <v>273667.03999999998</v>
      </c>
      <c r="E80" s="95">
        <f>SUM('DOE25'!H145:H153)</f>
        <v>2521860.23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246111.63</v>
      </c>
      <c r="D83" s="131">
        <f>SUM(D77:D82)</f>
        <v>273667.03999999998</v>
      </c>
      <c r="E83" s="131">
        <f>SUM(E77:E82)</f>
        <v>2521860.23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30464.86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30464.86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38304990.18</v>
      </c>
      <c r="D96" s="86">
        <f>D55+D73+D83+D95</f>
        <v>1132727.93</v>
      </c>
      <c r="E96" s="86">
        <f>E55+E73+E83+E95</f>
        <v>2815597.58</v>
      </c>
      <c r="F96" s="86">
        <f>F55+F73+F83+F95</f>
        <v>0</v>
      </c>
      <c r="G96" s="86">
        <f>G55+G73+G95</f>
        <v>249892.27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15631161.83</v>
      </c>
      <c r="D101" s="24" t="s">
        <v>312</v>
      </c>
      <c r="E101" s="95">
        <f>('DOE25'!L268)+('DOE25'!L287)+('DOE25'!L306)</f>
        <v>1130368.73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5486035.8500000006</v>
      </c>
      <c r="D102" s="24" t="s">
        <v>312</v>
      </c>
      <c r="E102" s="95">
        <f>('DOE25'!L269)+('DOE25'!L288)+('DOE25'!L307)</f>
        <v>774920.87999999989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1413341.64</v>
      </c>
      <c r="D103" s="24" t="s">
        <v>312</v>
      </c>
      <c r="E103" s="95">
        <f>('DOE25'!L270)+('DOE25'!L289)+('DOE25'!L308)</f>
        <v>331799.5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516370.70000000007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58646.61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23046910.02</v>
      </c>
      <c r="D107" s="86">
        <f>SUM(D101:D106)</f>
        <v>0</v>
      </c>
      <c r="E107" s="86">
        <f>SUM(E101:E106)</f>
        <v>2295735.7199999997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3016758.3899999997</v>
      </c>
      <c r="D110" s="24" t="s">
        <v>312</v>
      </c>
      <c r="E110" s="95">
        <f>+('DOE25'!L273)+('DOE25'!L292)+('DOE25'!L311)</f>
        <v>360500.96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964719.69</v>
      </c>
      <c r="D111" s="24" t="s">
        <v>312</v>
      </c>
      <c r="E111" s="95">
        <f>+('DOE25'!L274)+('DOE25'!L293)+('DOE25'!L312)</f>
        <v>89102.51999999999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726234.07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2497018.48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788929.99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4123669.6100000003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1568613.85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1166393.3599999999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13685944.08</v>
      </c>
      <c r="D120" s="86">
        <f>SUM(D110:D119)</f>
        <v>1166393.3599999999</v>
      </c>
      <c r="E120" s="86">
        <f>SUM(E110:E119)</f>
        <v>449603.48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228653.07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2267176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412638.35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56725.8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102850.17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147042.09999999998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-149892.26999999996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3008467.42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56725.8</v>
      </c>
    </row>
    <row r="137" spans="1:9" ht="12.75" thickTop="1" thickBot="1" x14ac:dyDescent="0.25">
      <c r="A137" s="33" t="s">
        <v>267</v>
      </c>
      <c r="C137" s="86">
        <f>(C107+C120+C136)</f>
        <v>39741321.520000003</v>
      </c>
      <c r="D137" s="86">
        <f>(D107+D120+D136)</f>
        <v>1166393.3599999999</v>
      </c>
      <c r="E137" s="86">
        <f>(E107+E120+E136)</f>
        <v>2745339.1999999997</v>
      </c>
      <c r="F137" s="86">
        <f>(F107+F120+F136)</f>
        <v>0</v>
      </c>
      <c r="G137" s="86">
        <f>(G107+G120+G136)</f>
        <v>56725.8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12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10/10</v>
      </c>
      <c r="C144" s="152" t="str">
        <f>'DOE25'!G481</f>
        <v>4/01</v>
      </c>
      <c r="D144" s="152" t="str">
        <f>'DOE25'!H481</f>
        <v>8/10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10/20</v>
      </c>
      <c r="C145" s="152" t="str">
        <f>'DOE25'!G482</f>
        <v>3/21</v>
      </c>
      <c r="D145" s="152" t="str">
        <f>'DOE25'!H482</f>
        <v>6/21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10000000</v>
      </c>
      <c r="C146" s="137">
        <f>'DOE25'!G483</f>
        <v>7625000</v>
      </c>
      <c r="D146" s="137">
        <f>'DOE25'!H483</f>
        <v>8220000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5.12</v>
      </c>
      <c r="C147" s="137">
        <f>'DOE25'!G484</f>
        <v>4.7699999999999996</v>
      </c>
      <c r="D147" s="137">
        <f>'DOE25'!H484</f>
        <v>2.7048899999999998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5500000</v>
      </c>
      <c r="C148" s="137">
        <f>'DOE25'!G485</f>
        <v>4180000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9680000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8220000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8220000</v>
      </c>
    </row>
    <row r="150" spans="1:7" x14ac:dyDescent="0.2">
      <c r="A150" s="22" t="s">
        <v>34</v>
      </c>
      <c r="B150" s="137">
        <f>'DOE25'!F487</f>
        <v>5000000</v>
      </c>
      <c r="C150" s="137">
        <f>'DOE25'!G487</f>
        <v>3800000</v>
      </c>
      <c r="D150" s="137">
        <f>'DOE25'!H487</f>
        <v>90000</v>
      </c>
      <c r="E150" s="137">
        <f>'DOE25'!I487</f>
        <v>0</v>
      </c>
      <c r="F150" s="137">
        <f>'DOE25'!J487</f>
        <v>0</v>
      </c>
      <c r="G150" s="138">
        <f t="shared" si="0"/>
        <v>8890000</v>
      </c>
    </row>
    <row r="151" spans="1:7" x14ac:dyDescent="0.2">
      <c r="A151" s="22" t="s">
        <v>35</v>
      </c>
      <c r="B151" s="137">
        <f>'DOE25'!F488</f>
        <v>500000</v>
      </c>
      <c r="C151" s="137">
        <f>'DOE25'!G488</f>
        <v>380000</v>
      </c>
      <c r="D151" s="137">
        <f>'DOE25'!H488</f>
        <v>8130000</v>
      </c>
      <c r="E151" s="137">
        <f>'DOE25'!I488</f>
        <v>0</v>
      </c>
      <c r="F151" s="137">
        <f>'DOE25'!J488</f>
        <v>0</v>
      </c>
      <c r="G151" s="138">
        <f t="shared" si="0"/>
        <v>9010000</v>
      </c>
    </row>
    <row r="152" spans="1:7" x14ac:dyDescent="0.2">
      <c r="A152" s="22" t="s">
        <v>36</v>
      </c>
      <c r="B152" s="137">
        <f>'DOE25'!F489</f>
        <v>12500</v>
      </c>
      <c r="C152" s="137">
        <f>'DOE25'!G489</f>
        <v>17100</v>
      </c>
      <c r="D152" s="137">
        <f>'DOE25'!H489</f>
        <v>1475334.46</v>
      </c>
      <c r="E152" s="137">
        <f>'DOE25'!I489</f>
        <v>0</v>
      </c>
      <c r="F152" s="137">
        <f>'DOE25'!J489</f>
        <v>0</v>
      </c>
      <c r="G152" s="138">
        <f t="shared" si="0"/>
        <v>1504934.46</v>
      </c>
    </row>
    <row r="153" spans="1:7" x14ac:dyDescent="0.2">
      <c r="A153" s="22" t="s">
        <v>37</v>
      </c>
      <c r="B153" s="137">
        <f>'DOE25'!F490</f>
        <v>512500</v>
      </c>
      <c r="C153" s="137">
        <f>'DOE25'!G490</f>
        <v>397100</v>
      </c>
      <c r="D153" s="137">
        <f>'DOE25'!H490</f>
        <v>9605334.4600000009</v>
      </c>
      <c r="E153" s="137">
        <f>'DOE25'!I490</f>
        <v>0</v>
      </c>
      <c r="F153" s="137">
        <f>'DOE25'!J490</f>
        <v>0</v>
      </c>
      <c r="G153" s="138">
        <f t="shared" si="0"/>
        <v>10514934.460000001</v>
      </c>
    </row>
    <row r="154" spans="1:7" x14ac:dyDescent="0.2">
      <c r="A154" s="22" t="s">
        <v>38</v>
      </c>
      <c r="B154" s="137">
        <f>'DOE25'!F491</f>
        <v>500000</v>
      </c>
      <c r="C154" s="137">
        <f>'DOE25'!G491</f>
        <v>380000</v>
      </c>
      <c r="D154" s="137">
        <f>'DOE25'!H491</f>
        <v>25000</v>
      </c>
      <c r="E154" s="137">
        <f>'DOE25'!I491</f>
        <v>0</v>
      </c>
      <c r="F154" s="137">
        <f>'DOE25'!J491</f>
        <v>0</v>
      </c>
      <c r="G154" s="138">
        <f t="shared" si="0"/>
        <v>905000</v>
      </c>
    </row>
    <row r="155" spans="1:7" x14ac:dyDescent="0.2">
      <c r="A155" s="22" t="s">
        <v>39</v>
      </c>
      <c r="B155" s="137">
        <f>'DOE25'!F492</f>
        <v>12500</v>
      </c>
      <c r="C155" s="137">
        <f>'DOE25'!G492</f>
        <v>17100</v>
      </c>
      <c r="D155" s="137">
        <f>'DOE25'!H492</f>
        <v>239168.76</v>
      </c>
      <c r="E155" s="137">
        <f>'DOE25'!I492</f>
        <v>0</v>
      </c>
      <c r="F155" s="137">
        <f>'DOE25'!J492</f>
        <v>0</v>
      </c>
      <c r="G155" s="138">
        <f t="shared" si="0"/>
        <v>268768.76</v>
      </c>
    </row>
    <row r="156" spans="1:7" x14ac:dyDescent="0.2">
      <c r="A156" s="22" t="s">
        <v>269</v>
      </c>
      <c r="B156" s="137">
        <f>'DOE25'!F493</f>
        <v>512500</v>
      </c>
      <c r="C156" s="137">
        <f>'DOE25'!G493</f>
        <v>397100</v>
      </c>
      <c r="D156" s="137">
        <f>'DOE25'!H493</f>
        <v>264168.76</v>
      </c>
      <c r="E156" s="137">
        <f>'DOE25'!I493</f>
        <v>0</v>
      </c>
      <c r="F156" s="137">
        <f>'DOE25'!J493</f>
        <v>0</v>
      </c>
      <c r="G156" s="138">
        <f t="shared" si="0"/>
        <v>1173768.76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EAC2-755F-46B6-95CE-44844A20483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Hudson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8744</v>
      </c>
    </row>
    <row r="5" spans="1:4" x14ac:dyDescent="0.2">
      <c r="B5" t="s">
        <v>735</v>
      </c>
      <c r="C5" s="179">
        <f>IF('DOE25'!G655+'DOE25'!G660=0,0,ROUND('DOE25'!G662,0))</f>
        <v>8630</v>
      </c>
    </row>
    <row r="6" spans="1:4" x14ac:dyDescent="0.2">
      <c r="B6" t="s">
        <v>62</v>
      </c>
      <c r="C6" s="179">
        <f>IF('DOE25'!H655+'DOE25'!H660=0,0,ROUND('DOE25'!H662,0))</f>
        <v>9590</v>
      </c>
    </row>
    <row r="7" spans="1:4" x14ac:dyDescent="0.2">
      <c r="B7" t="s">
        <v>736</v>
      </c>
      <c r="C7" s="179">
        <f>IF('DOE25'!I655+'DOE25'!I660=0,0,ROUND('DOE25'!I662,0))</f>
        <v>9019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16761531</v>
      </c>
      <c r="D10" s="182">
        <f>ROUND((C10/$C$28)*100,1)</f>
        <v>41.7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6260957</v>
      </c>
      <c r="D11" s="182">
        <f>ROUND((C11/$C$28)*100,1)</f>
        <v>15.6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1745141</v>
      </c>
      <c r="D12" s="182">
        <f>ROUND((C12/$C$28)*100,1)</f>
        <v>4.3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516371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3377259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1053822</v>
      </c>
      <c r="D16" s="182">
        <f t="shared" si="0"/>
        <v>2.6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726234</v>
      </c>
      <c r="D17" s="182">
        <f t="shared" si="0"/>
        <v>1.8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2497018</v>
      </c>
      <c r="D18" s="182">
        <f t="shared" si="0"/>
        <v>6.2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788930</v>
      </c>
      <c r="D19" s="182">
        <f t="shared" si="0"/>
        <v>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4123670</v>
      </c>
      <c r="D20" s="182">
        <f t="shared" si="0"/>
        <v>10.3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1568614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58647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412638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324769.03000000003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40215601.030000001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228653</v>
      </c>
    </row>
    <row r="30" spans="1:4" x14ac:dyDescent="0.2">
      <c r="B30" s="187" t="s">
        <v>760</v>
      </c>
      <c r="C30" s="180">
        <f>SUM(C28:C29)</f>
        <v>40444254.030000001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2267176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20642629</v>
      </c>
      <c r="D35" s="182">
        <f t="shared" ref="D35:D40" si="1">ROUND((C35/$C$41)*100,1)</f>
        <v>49.7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907208.51999999955</v>
      </c>
      <c r="D36" s="182">
        <f t="shared" si="1"/>
        <v>2.2000000000000002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12882636</v>
      </c>
      <c r="D37" s="182">
        <f t="shared" si="1"/>
        <v>31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4057006</v>
      </c>
      <c r="D38" s="182">
        <f t="shared" si="1"/>
        <v>9.8000000000000007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3041639</v>
      </c>
      <c r="D39" s="182">
        <f t="shared" si="1"/>
        <v>7.3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41531118.519999996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1DB6-F15F-449C-8B84-9277D856E73F}">
  <sheetPr>
    <tabColor indexed="17"/>
  </sheetPr>
  <dimension ref="A1:IV90"/>
  <sheetViews>
    <sheetView workbookViewId="0">
      <pane ySplit="3" topLeftCell="A4" activePane="bottomLeft" state="frozen"/>
      <selection pane="bottomLeft" activeCell="B27" sqref="B2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Hudson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57:M57"/>
    <mergeCell ref="C59:M59"/>
    <mergeCell ref="C60:M60"/>
    <mergeCell ref="C58:M58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EP40:EZ40"/>
    <mergeCell ref="FP40:FZ40"/>
    <mergeCell ref="IC40:IM40"/>
    <mergeCell ref="CC40:CM40"/>
    <mergeCell ref="CP40:CZ40"/>
    <mergeCell ref="DC40:DM40"/>
    <mergeCell ref="DP40:DZ40"/>
    <mergeCell ref="FC40:FM40"/>
    <mergeCell ref="GC39:GM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FP39:FZ39"/>
    <mergeCell ref="HP38:HZ38"/>
    <mergeCell ref="HP39:HZ39"/>
    <mergeCell ref="IC39:IM39"/>
    <mergeCell ref="HC39:HM39"/>
    <mergeCell ref="DC39:DM39"/>
    <mergeCell ref="DP39:DZ39"/>
    <mergeCell ref="EC39:EM39"/>
    <mergeCell ref="EP39:EZ39"/>
    <mergeCell ref="GP39:GZ39"/>
    <mergeCell ref="BP39:BZ39"/>
    <mergeCell ref="BP38:BZ38"/>
    <mergeCell ref="CC38:CM38"/>
    <mergeCell ref="BC40:BM40"/>
    <mergeCell ref="BP40:BZ40"/>
    <mergeCell ref="IP38:IV38"/>
    <mergeCell ref="CC39:CM39"/>
    <mergeCell ref="CP39:CZ39"/>
    <mergeCell ref="IP39:IV39"/>
    <mergeCell ref="GP38:GZ38"/>
    <mergeCell ref="C43:M43"/>
    <mergeCell ref="P40:Z40"/>
    <mergeCell ref="AC40:AM40"/>
    <mergeCell ref="BC39:BM39"/>
    <mergeCell ref="AP40:AZ40"/>
    <mergeCell ref="C42:M42"/>
    <mergeCell ref="P39:Z39"/>
    <mergeCell ref="AC39:AM39"/>
    <mergeCell ref="AP39:AZ39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HC38:HM38"/>
    <mergeCell ref="P32:Z32"/>
    <mergeCell ref="AC32:AM32"/>
    <mergeCell ref="AP32:AZ32"/>
    <mergeCell ref="P38:Z38"/>
    <mergeCell ref="CC32:CM32"/>
    <mergeCell ref="GP32:GZ32"/>
    <mergeCell ref="DC32:DM32"/>
    <mergeCell ref="BP32:BZ32"/>
    <mergeCell ref="BC38:BM38"/>
    <mergeCell ref="GC31:GM31"/>
    <mergeCell ref="GP31:GZ31"/>
    <mergeCell ref="BP31:BZ31"/>
    <mergeCell ref="CC31:CM31"/>
    <mergeCell ref="CP31:CZ31"/>
    <mergeCell ref="DC31:DM31"/>
    <mergeCell ref="BC31:BM31"/>
    <mergeCell ref="BC32:BM32"/>
    <mergeCell ref="EC31:EM31"/>
    <mergeCell ref="EP31:EZ31"/>
    <mergeCell ref="FC31:FM31"/>
    <mergeCell ref="EP32:EZ32"/>
    <mergeCell ref="DP32:DZ32"/>
    <mergeCell ref="EC32:EM32"/>
    <mergeCell ref="CP32:CZ32"/>
    <mergeCell ref="HP32:HZ32"/>
    <mergeCell ref="IC32:IM32"/>
    <mergeCell ref="IP32:IV32"/>
    <mergeCell ref="FC32:FM32"/>
    <mergeCell ref="FP32:FZ32"/>
    <mergeCell ref="GC32:GM32"/>
    <mergeCell ref="HC32:HM32"/>
    <mergeCell ref="DC30:DM30"/>
    <mergeCell ref="DP30:DZ30"/>
    <mergeCell ref="EC30:EM30"/>
    <mergeCell ref="EP30:EZ30"/>
    <mergeCell ref="IC31:IM31"/>
    <mergeCell ref="IP31:IV31"/>
    <mergeCell ref="HP31:HZ31"/>
    <mergeCell ref="HC31:HM31"/>
    <mergeCell ref="DP31:DZ31"/>
    <mergeCell ref="FP31:FZ31"/>
    <mergeCell ref="AC38:AM38"/>
    <mergeCell ref="AP38:AZ38"/>
    <mergeCell ref="IP30:IV30"/>
    <mergeCell ref="FC30:FM30"/>
    <mergeCell ref="FP30:FZ30"/>
    <mergeCell ref="GC30:GM30"/>
    <mergeCell ref="GP30:GZ30"/>
    <mergeCell ref="HC30:HM30"/>
    <mergeCell ref="HP30:HZ30"/>
    <mergeCell ref="IC30:IM30"/>
    <mergeCell ref="HC29:HM29"/>
    <mergeCell ref="HP29:HZ29"/>
    <mergeCell ref="IC29:IM29"/>
    <mergeCell ref="IP29:IV29"/>
    <mergeCell ref="AC30:AM30"/>
    <mergeCell ref="AP30:AZ30"/>
    <mergeCell ref="BC30:BM30"/>
    <mergeCell ref="BP30:BZ30"/>
    <mergeCell ref="CC30:CM30"/>
    <mergeCell ref="CP30:CZ30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9:M9"/>
    <mergeCell ref="C10:M10"/>
    <mergeCell ref="C11:M11"/>
    <mergeCell ref="C64:M64"/>
    <mergeCell ref="C36:M36"/>
    <mergeCell ref="C14:M14"/>
    <mergeCell ref="C15:M15"/>
    <mergeCell ref="C16:M16"/>
    <mergeCell ref="C17:M17"/>
    <mergeCell ref="C18:M18"/>
    <mergeCell ref="C76:M76"/>
    <mergeCell ref="C29:M29"/>
    <mergeCell ref="C25:M25"/>
    <mergeCell ref="C26:M26"/>
    <mergeCell ref="C27:M27"/>
    <mergeCell ref="C65:M65"/>
    <mergeCell ref="C28:M28"/>
    <mergeCell ref="C52:M52"/>
    <mergeCell ref="C41:M41"/>
    <mergeCell ref="C33:M33"/>
    <mergeCell ref="C73:M73"/>
    <mergeCell ref="C19:M19"/>
    <mergeCell ref="C20:M20"/>
    <mergeCell ref="C22:M22"/>
    <mergeCell ref="C23:M23"/>
    <mergeCell ref="C44:M44"/>
    <mergeCell ref="C37:M37"/>
    <mergeCell ref="C38:M38"/>
    <mergeCell ref="C39:M39"/>
    <mergeCell ref="C40:M40"/>
    <mergeCell ref="C69:M69"/>
    <mergeCell ref="C70:M70"/>
    <mergeCell ref="C24:M24"/>
    <mergeCell ref="C79:M79"/>
    <mergeCell ref="C78:M78"/>
    <mergeCell ref="C12:M12"/>
    <mergeCell ref="C13:M13"/>
    <mergeCell ref="C34:M34"/>
    <mergeCell ref="C35:M35"/>
    <mergeCell ref="A72:E72"/>
    <mergeCell ref="C83:M83"/>
    <mergeCell ref="C84:M84"/>
    <mergeCell ref="C85:M85"/>
    <mergeCell ref="C77:M77"/>
    <mergeCell ref="C21:M21"/>
    <mergeCell ref="C62:M62"/>
    <mergeCell ref="C63:M63"/>
    <mergeCell ref="C80:M80"/>
    <mergeCell ref="C67:M67"/>
    <mergeCell ref="C68:M68"/>
    <mergeCell ref="C87:M87"/>
    <mergeCell ref="C88:M88"/>
    <mergeCell ref="C89:M89"/>
    <mergeCell ref="C90:M90"/>
    <mergeCell ref="C66:M66"/>
    <mergeCell ref="C74:M74"/>
    <mergeCell ref="C75:M75"/>
    <mergeCell ref="C86:M86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2010-09-01T14:55:34Z</cp:lastPrinted>
  <dcterms:created xsi:type="dcterms:W3CDTF">1997-12-04T19:04:30Z</dcterms:created>
  <dcterms:modified xsi:type="dcterms:W3CDTF">2025-01-02T14:55:18Z</dcterms:modified>
</cp:coreProperties>
</file>