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58E5FEB9-AFD7-42CF-B10F-418C179CB005}" xr6:coauthVersionLast="47" xr6:coauthVersionMax="47" xr10:uidLastSave="{00000000-0000-0000-0000-000000000000}"/>
  <workbookProtection workbookPassword="B70A" lockStructure="1"/>
  <bookViews>
    <workbookView xWindow="1860" yWindow="1860" windowWidth="21600" windowHeight="11505" tabRatio="855" xr2:uid="{5C05D096-277A-4CF9-8BF9-52D6BD046034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2" l="1"/>
  <c r="F655" i="1"/>
  <c r="J594" i="1"/>
  <c r="H594" i="1"/>
  <c r="H587" i="1"/>
  <c r="J587" i="1"/>
  <c r="G601" i="1"/>
  <c r="F601" i="1"/>
  <c r="H585" i="1"/>
  <c r="H582" i="1"/>
  <c r="K582" i="1" s="1"/>
  <c r="I552" i="1"/>
  <c r="G554" i="1"/>
  <c r="G552" i="1"/>
  <c r="F552" i="1"/>
  <c r="F554" i="1" s="1"/>
  <c r="F492" i="1"/>
  <c r="H360" i="1"/>
  <c r="F360" i="1"/>
  <c r="K352" i="1"/>
  <c r="K350" i="1"/>
  <c r="J350" i="1"/>
  <c r="I352" i="1"/>
  <c r="I354" i="1" s="1"/>
  <c r="G624" i="1" s="1"/>
  <c r="I350" i="1"/>
  <c r="H350" i="1"/>
  <c r="H352" i="1" s="1"/>
  <c r="G350" i="1"/>
  <c r="L350" i="1" s="1"/>
  <c r="H462" i="1"/>
  <c r="J88" i="1"/>
  <c r="J458" i="1"/>
  <c r="F449" i="1"/>
  <c r="H388" i="1"/>
  <c r="F431" i="1"/>
  <c r="I431" i="1" s="1"/>
  <c r="H127" i="1"/>
  <c r="H128" i="1" s="1"/>
  <c r="H95" i="1"/>
  <c r="H103" i="1" s="1"/>
  <c r="H147" i="1"/>
  <c r="H146" i="1"/>
  <c r="H154" i="1" s="1"/>
  <c r="H161" i="1" s="1"/>
  <c r="F93" i="1"/>
  <c r="F103" i="1" s="1"/>
  <c r="F433" i="1"/>
  <c r="I433" i="1" s="1"/>
  <c r="J12" i="1" s="1"/>
  <c r="G12" i="2" s="1"/>
  <c r="H25" i="1"/>
  <c r="H23" i="1"/>
  <c r="H13" i="1"/>
  <c r="H12" i="1"/>
  <c r="C60" i="2"/>
  <c r="B2" i="13"/>
  <c r="F8" i="13"/>
  <c r="E8" i="13" s="1"/>
  <c r="G8" i="13"/>
  <c r="L196" i="1"/>
  <c r="C17" i="10" s="1"/>
  <c r="L214" i="1"/>
  <c r="L232" i="1"/>
  <c r="D39" i="13"/>
  <c r="F13" i="13"/>
  <c r="G13" i="13"/>
  <c r="L198" i="1"/>
  <c r="L216" i="1"/>
  <c r="L234" i="1"/>
  <c r="C114" i="2" s="1"/>
  <c r="E13" i="13"/>
  <c r="C13" i="13" s="1"/>
  <c r="F16" i="13"/>
  <c r="G16" i="13"/>
  <c r="L201" i="1"/>
  <c r="E16" i="13" s="1"/>
  <c r="C16" i="13" s="1"/>
  <c r="L219" i="1"/>
  <c r="L237" i="1"/>
  <c r="F5" i="13"/>
  <c r="G5" i="13"/>
  <c r="L189" i="1"/>
  <c r="L203" i="1" s="1"/>
  <c r="L190" i="1"/>
  <c r="C102" i="2" s="1"/>
  <c r="L191" i="1"/>
  <c r="C12" i="10" s="1"/>
  <c r="L192" i="1"/>
  <c r="L207" i="1"/>
  <c r="L221" i="1" s="1"/>
  <c r="L208" i="1"/>
  <c r="L209" i="1"/>
  <c r="L210" i="1"/>
  <c r="L225" i="1"/>
  <c r="L226" i="1"/>
  <c r="L227" i="1"/>
  <c r="L228" i="1"/>
  <c r="F6" i="13"/>
  <c r="G6" i="13"/>
  <c r="G33" i="13" s="1"/>
  <c r="L194" i="1"/>
  <c r="L212" i="1"/>
  <c r="L230" i="1"/>
  <c r="L239" i="1" s="1"/>
  <c r="F7" i="13"/>
  <c r="G7" i="13"/>
  <c r="L195" i="1"/>
  <c r="L213" i="1"/>
  <c r="L231" i="1"/>
  <c r="D7" i="13"/>
  <c r="C7" i="13" s="1"/>
  <c r="F12" i="13"/>
  <c r="D12" i="13" s="1"/>
  <c r="C12" i="13" s="1"/>
  <c r="G12" i="13"/>
  <c r="L197" i="1"/>
  <c r="C18" i="10" s="1"/>
  <c r="L215" i="1"/>
  <c r="L233" i="1"/>
  <c r="F14" i="13"/>
  <c r="G14" i="13"/>
  <c r="L199" i="1"/>
  <c r="L217" i="1"/>
  <c r="L235" i="1"/>
  <c r="D14" i="13"/>
  <c r="C14" i="13" s="1"/>
  <c r="F15" i="13"/>
  <c r="D15" i="13" s="1"/>
  <c r="C15" i="13" s="1"/>
  <c r="G15" i="13"/>
  <c r="L200" i="1"/>
  <c r="C21" i="10" s="1"/>
  <c r="L218" i="1"/>
  <c r="G652" i="1" s="1"/>
  <c r="L236" i="1"/>
  <c r="H652" i="1" s="1"/>
  <c r="F17" i="13"/>
  <c r="G17" i="13"/>
  <c r="L243" i="1"/>
  <c r="D17" i="13" s="1"/>
  <c r="C17" i="13" s="1"/>
  <c r="F18" i="13"/>
  <c r="G18" i="13"/>
  <c r="L244" i="1"/>
  <c r="C24" i="10" s="1"/>
  <c r="D18" i="13"/>
  <c r="C18" i="13" s="1"/>
  <c r="F19" i="13"/>
  <c r="G19" i="13"/>
  <c r="L245" i="1"/>
  <c r="D19" i="13"/>
  <c r="C19" i="13" s="1"/>
  <c r="G29" i="13"/>
  <c r="L351" i="1"/>
  <c r="I359" i="1"/>
  <c r="I361" i="1" s="1"/>
  <c r="H624" i="1" s="1"/>
  <c r="J282" i="1"/>
  <c r="F31" i="13" s="1"/>
  <c r="J301" i="1"/>
  <c r="J320" i="1"/>
  <c r="K282" i="1"/>
  <c r="G31" i="13" s="1"/>
  <c r="K301" i="1"/>
  <c r="K320" i="1"/>
  <c r="L268" i="1"/>
  <c r="L269" i="1"/>
  <c r="L270" i="1"/>
  <c r="L282" i="1" s="1"/>
  <c r="L271" i="1"/>
  <c r="C13" i="10" s="1"/>
  <c r="L273" i="1"/>
  <c r="E110" i="2" s="1"/>
  <c r="E120" i="2" s="1"/>
  <c r="L274" i="1"/>
  <c r="L275" i="1"/>
  <c r="L276" i="1"/>
  <c r="E113" i="2" s="1"/>
  <c r="L277" i="1"/>
  <c r="E114" i="2" s="1"/>
  <c r="L278" i="1"/>
  <c r="C20" i="10" s="1"/>
  <c r="L279" i="1"/>
  <c r="L280" i="1"/>
  <c r="L287" i="1"/>
  <c r="L288" i="1"/>
  <c r="E102" i="2" s="1"/>
  <c r="L289" i="1"/>
  <c r="E103" i="2" s="1"/>
  <c r="L290" i="1"/>
  <c r="L292" i="1"/>
  <c r="L293" i="1"/>
  <c r="L294" i="1"/>
  <c r="L295" i="1"/>
  <c r="L296" i="1"/>
  <c r="L297" i="1"/>
  <c r="L298" i="1"/>
  <c r="L299" i="1"/>
  <c r="L306" i="1"/>
  <c r="E101" i="2" s="1"/>
  <c r="L307" i="1"/>
  <c r="L320" i="1" s="1"/>
  <c r="L308" i="1"/>
  <c r="L309" i="1"/>
  <c r="L311" i="1"/>
  <c r="L312" i="1"/>
  <c r="L313" i="1"/>
  <c r="L314" i="1"/>
  <c r="L315" i="1"/>
  <c r="L316" i="1"/>
  <c r="L317" i="1"/>
  <c r="L318" i="1"/>
  <c r="L325" i="1"/>
  <c r="E106" i="2" s="1"/>
  <c r="L326" i="1"/>
  <c r="L327" i="1"/>
  <c r="L252" i="1"/>
  <c r="L253" i="1"/>
  <c r="L333" i="1"/>
  <c r="L334" i="1"/>
  <c r="H25" i="13"/>
  <c r="C25" i="13" s="1"/>
  <c r="H33" i="13"/>
  <c r="L247" i="1"/>
  <c r="F22" i="13" s="1"/>
  <c r="C22" i="13" s="1"/>
  <c r="L328" i="1"/>
  <c r="E122" i="2" s="1"/>
  <c r="E136" i="2" s="1"/>
  <c r="C11" i="13"/>
  <c r="C10" i="13"/>
  <c r="C9" i="13"/>
  <c r="L353" i="1"/>
  <c r="B4" i="12"/>
  <c r="B36" i="12"/>
  <c r="A40" i="12" s="1"/>
  <c r="C36" i="12"/>
  <c r="B40" i="12"/>
  <c r="C40" i="12"/>
  <c r="B27" i="12"/>
  <c r="C27" i="12"/>
  <c r="B31" i="12"/>
  <c r="C31" i="12"/>
  <c r="A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3" i="1" s="1"/>
  <c r="C131" i="2" s="1"/>
  <c r="L391" i="1"/>
  <c r="L392" i="1"/>
  <c r="L395" i="1"/>
  <c r="L399" i="1" s="1"/>
  <c r="C132" i="2" s="1"/>
  <c r="L396" i="1"/>
  <c r="L397" i="1"/>
  <c r="L398" i="1"/>
  <c r="L258" i="1"/>
  <c r="J52" i="1"/>
  <c r="J104" i="1" s="1"/>
  <c r="G48" i="2"/>
  <c r="G51" i="2"/>
  <c r="G54" i="2" s="1"/>
  <c r="G53" i="2"/>
  <c r="F2" i="11"/>
  <c r="L603" i="1"/>
  <c r="H653" i="1" s="1"/>
  <c r="L602" i="1"/>
  <c r="G653" i="1" s="1"/>
  <c r="L601" i="1"/>
  <c r="F653" i="1"/>
  <c r="I653" i="1" s="1"/>
  <c r="C40" i="10"/>
  <c r="F52" i="1"/>
  <c r="C35" i="10" s="1"/>
  <c r="G52" i="1"/>
  <c r="D48" i="2" s="1"/>
  <c r="H52" i="1"/>
  <c r="I52" i="1"/>
  <c r="I104" i="1" s="1"/>
  <c r="F71" i="1"/>
  <c r="F86" i="1"/>
  <c r="G103" i="1"/>
  <c r="G104" i="1"/>
  <c r="H71" i="1"/>
  <c r="E49" i="2" s="1"/>
  <c r="H86" i="1"/>
  <c r="I103" i="1"/>
  <c r="J103" i="1"/>
  <c r="C37" i="10"/>
  <c r="F113" i="1"/>
  <c r="F128" i="1"/>
  <c r="F132" i="1"/>
  <c r="G113" i="1"/>
  <c r="G132" i="1" s="1"/>
  <c r="G128" i="1"/>
  <c r="H113" i="1"/>
  <c r="I113" i="1"/>
  <c r="I128" i="1"/>
  <c r="I132" i="1"/>
  <c r="J113" i="1"/>
  <c r="J128" i="1"/>
  <c r="J132" i="1"/>
  <c r="F139" i="1"/>
  <c r="F154" i="1"/>
  <c r="F161" i="1"/>
  <c r="G139" i="1"/>
  <c r="G161" i="1" s="1"/>
  <c r="G154" i="1"/>
  <c r="H139" i="1"/>
  <c r="I139" i="1"/>
  <c r="I161" i="1" s="1"/>
  <c r="I154" i="1"/>
  <c r="C10" i="10"/>
  <c r="C11" i="10"/>
  <c r="C16" i="10"/>
  <c r="L242" i="1"/>
  <c r="C105" i="2" s="1"/>
  <c r="L324" i="1"/>
  <c r="E105" i="2" s="1"/>
  <c r="C23" i="10"/>
  <c r="L246" i="1"/>
  <c r="C25" i="10"/>
  <c r="L260" i="1"/>
  <c r="C26" i="10" s="1"/>
  <c r="L261" i="1"/>
  <c r="L341" i="1"/>
  <c r="L342" i="1"/>
  <c r="I655" i="1"/>
  <c r="I660" i="1"/>
  <c r="F652" i="1"/>
  <c r="I659" i="1"/>
  <c r="C5" i="10"/>
  <c r="C42" i="10"/>
  <c r="C32" i="10"/>
  <c r="L366" i="1"/>
  <c r="L367" i="1"/>
  <c r="L368" i="1"/>
  <c r="L369" i="1"/>
  <c r="L370" i="1"/>
  <c r="L371" i="1"/>
  <c r="L372" i="1"/>
  <c r="B2" i="10"/>
  <c r="L336" i="1"/>
  <c r="L343" i="1" s="1"/>
  <c r="L337" i="1"/>
  <c r="E127" i="2" s="1"/>
  <c r="L338" i="1"/>
  <c r="L339" i="1"/>
  <c r="K343" i="1"/>
  <c r="L511" i="1"/>
  <c r="F539" i="1"/>
  <c r="L512" i="1"/>
  <c r="F540" i="1" s="1"/>
  <c r="L513" i="1"/>
  <c r="F541" i="1"/>
  <c r="L516" i="1"/>
  <c r="G539" i="1" s="1"/>
  <c r="G542" i="1" s="1"/>
  <c r="L517" i="1"/>
  <c r="G540" i="1"/>
  <c r="L518" i="1"/>
  <c r="G541" i="1"/>
  <c r="L521" i="1"/>
  <c r="H539" i="1" s="1"/>
  <c r="H542" i="1" s="1"/>
  <c r="L522" i="1"/>
  <c r="H540" i="1"/>
  <c r="L523" i="1"/>
  <c r="H541" i="1" s="1"/>
  <c r="L526" i="1"/>
  <c r="I539" i="1"/>
  <c r="L527" i="1"/>
  <c r="I540" i="1"/>
  <c r="I542" i="1" s="1"/>
  <c r="L528" i="1"/>
  <c r="L529" i="1" s="1"/>
  <c r="I541" i="1"/>
  <c r="L531" i="1"/>
  <c r="J539" i="1"/>
  <c r="L532" i="1"/>
  <c r="J540" i="1" s="1"/>
  <c r="L533" i="1"/>
  <c r="J541" i="1" s="1"/>
  <c r="E124" i="2"/>
  <c r="E123" i="2"/>
  <c r="K262" i="1"/>
  <c r="J262" i="1"/>
  <c r="I262" i="1"/>
  <c r="H262" i="1"/>
  <c r="G262" i="1"/>
  <c r="F262" i="1"/>
  <c r="C124" i="2"/>
  <c r="C123" i="2"/>
  <c r="A1" i="2"/>
  <c r="A2" i="2"/>
  <c r="C9" i="2"/>
  <c r="C19" i="2" s="1"/>
  <c r="D9" i="2"/>
  <c r="D19" i="2" s="1"/>
  <c r="E9" i="2"/>
  <c r="F9" i="2"/>
  <c r="C10" i="2"/>
  <c r="D10" i="2"/>
  <c r="E10" i="2"/>
  <c r="F10" i="2"/>
  <c r="I432" i="1"/>
  <c r="J10" i="1" s="1"/>
  <c r="G10" i="2" s="1"/>
  <c r="C11" i="2"/>
  <c r="C12" i="2"/>
  <c r="D12" i="2"/>
  <c r="E12" i="2"/>
  <c r="F12" i="2"/>
  <c r="C13" i="2"/>
  <c r="D13" i="2"/>
  <c r="E13" i="2"/>
  <c r="F13" i="2"/>
  <c r="I434" i="1"/>
  <c r="J13" i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 s="1"/>
  <c r="G18" i="2" s="1"/>
  <c r="E19" i="2"/>
  <c r="F19" i="2"/>
  <c r="C22" i="2"/>
  <c r="D22" i="2"/>
  <c r="E22" i="2"/>
  <c r="F22" i="2"/>
  <c r="I440" i="1"/>
  <c r="J23" i="1" s="1"/>
  <c r="C23" i="2"/>
  <c r="D23" i="2"/>
  <c r="E23" i="2"/>
  <c r="E32" i="2" s="1"/>
  <c r="F23" i="2"/>
  <c r="F32" i="2" s="1"/>
  <c r="I441" i="1"/>
  <c r="J24" i="1" s="1"/>
  <c r="G23" i="2" s="1"/>
  <c r="C24" i="2"/>
  <c r="D24" i="2"/>
  <c r="D32" i="2" s="1"/>
  <c r="E24" i="2"/>
  <c r="F24" i="2"/>
  <c r="I442" i="1"/>
  <c r="J25" i="1"/>
  <c r="G24" i="2"/>
  <c r="C25" i="2"/>
  <c r="C32" i="2" s="1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D34" i="2"/>
  <c r="E34" i="2"/>
  <c r="F34" i="2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F42" i="2" s="1"/>
  <c r="F43" i="2" s="1"/>
  <c r="I447" i="1"/>
  <c r="J38" i="1" s="1"/>
  <c r="C38" i="2"/>
  <c r="D38" i="2"/>
  <c r="E38" i="2"/>
  <c r="F38" i="2"/>
  <c r="I448" i="1"/>
  <c r="J40" i="1" s="1"/>
  <c r="G39" i="2" s="1"/>
  <c r="C40" i="2"/>
  <c r="C42" i="2" s="1"/>
  <c r="C43" i="2" s="1"/>
  <c r="D40" i="2"/>
  <c r="D42" i="2" s="1"/>
  <c r="D43" i="2" s="1"/>
  <c r="E40" i="2"/>
  <c r="F40" i="2"/>
  <c r="I449" i="1"/>
  <c r="J41" i="1"/>
  <c r="G40" i="2" s="1"/>
  <c r="C41" i="2"/>
  <c r="D41" i="2"/>
  <c r="E41" i="2"/>
  <c r="F41" i="2"/>
  <c r="E42" i="2"/>
  <c r="E43" i="2" s="1"/>
  <c r="E48" i="2"/>
  <c r="F48" i="2"/>
  <c r="C49" i="2"/>
  <c r="C50" i="2"/>
  <c r="E50" i="2"/>
  <c r="C51" i="2"/>
  <c r="D51" i="2"/>
  <c r="E51" i="2"/>
  <c r="F51" i="2"/>
  <c r="D52" i="2"/>
  <c r="D53" i="2"/>
  <c r="D54" i="2" s="1"/>
  <c r="F53" i="2"/>
  <c r="F54" i="2" s="1"/>
  <c r="C58" i="2"/>
  <c r="C59" i="2"/>
  <c r="C62" i="2" s="1"/>
  <c r="C61" i="2"/>
  <c r="D61" i="2"/>
  <c r="D62" i="2" s="1"/>
  <c r="E61" i="2"/>
  <c r="E62" i="2" s="1"/>
  <c r="F61" i="2"/>
  <c r="F62" i="2" s="1"/>
  <c r="G61" i="2"/>
  <c r="G62" i="2" s="1"/>
  <c r="C64" i="2"/>
  <c r="F64" i="2"/>
  <c r="F70" i="2" s="1"/>
  <c r="C65" i="2"/>
  <c r="F65" i="2"/>
  <c r="C66" i="2"/>
  <c r="C67" i="2"/>
  <c r="C68" i="2"/>
  <c r="E68" i="2"/>
  <c r="F68" i="2"/>
  <c r="C69" i="2"/>
  <c r="D69" i="2"/>
  <c r="F69" i="2"/>
  <c r="G69" i="2"/>
  <c r="G70" i="2" s="1"/>
  <c r="C70" i="2"/>
  <c r="D70" i="2"/>
  <c r="C71" i="2"/>
  <c r="D71" i="2"/>
  <c r="E71" i="2"/>
  <c r="C72" i="2"/>
  <c r="E72" i="2"/>
  <c r="C77" i="2"/>
  <c r="C83" i="2" s="1"/>
  <c r="D77" i="2"/>
  <c r="D83" i="2" s="1"/>
  <c r="E77" i="2"/>
  <c r="E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D95" i="2" s="1"/>
  <c r="E88" i="2"/>
  <c r="E95" i="2" s="1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G95" i="2"/>
  <c r="C104" i="2"/>
  <c r="E104" i="2"/>
  <c r="D107" i="2"/>
  <c r="F107" i="2"/>
  <c r="G107" i="2"/>
  <c r="C110" i="2"/>
  <c r="C111" i="2"/>
  <c r="E111" i="2"/>
  <c r="C112" i="2"/>
  <c r="E112" i="2"/>
  <c r="C113" i="2"/>
  <c r="C115" i="2"/>
  <c r="E115" i="2"/>
  <c r="C116" i="2"/>
  <c r="E116" i="2"/>
  <c r="C117" i="2"/>
  <c r="E117" i="2"/>
  <c r="F120" i="2"/>
  <c r="G120" i="2"/>
  <c r="F122" i="2"/>
  <c r="D126" i="2"/>
  <c r="D136" i="2" s="1"/>
  <c r="E126" i="2"/>
  <c r="F126" i="2"/>
  <c r="K411" i="1"/>
  <c r="K426" i="1" s="1"/>
  <c r="G126" i="2" s="1"/>
  <c r="G136" i="2" s="1"/>
  <c r="G137" i="2" s="1"/>
  <c r="K419" i="1"/>
  <c r="K425" i="1"/>
  <c r="L255" i="1"/>
  <c r="C127" i="2" s="1"/>
  <c r="L256" i="1"/>
  <c r="C128" i="2"/>
  <c r="L257" i="1"/>
  <c r="C129" i="2" s="1"/>
  <c r="E129" i="2"/>
  <c r="C134" i="2"/>
  <c r="E134" i="2"/>
  <c r="C135" i="2"/>
  <c r="E135" i="2"/>
  <c r="F136" i="2"/>
  <c r="F137" i="2" s="1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B151" i="2"/>
  <c r="G151" i="2" s="1"/>
  <c r="C151" i="2"/>
  <c r="D151" i="2"/>
  <c r="E151" i="2"/>
  <c r="F151" i="2"/>
  <c r="B152" i="2"/>
  <c r="C152" i="2"/>
  <c r="D152" i="2"/>
  <c r="E152" i="2"/>
  <c r="F152" i="2"/>
  <c r="G152" i="2"/>
  <c r="F490" i="1"/>
  <c r="B153" i="2" s="1"/>
  <c r="G490" i="1"/>
  <c r="C153" i="2"/>
  <c r="H490" i="1"/>
  <c r="D153" i="2" s="1"/>
  <c r="I490" i="1"/>
  <c r="E153" i="2" s="1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B156" i="2"/>
  <c r="G493" i="1"/>
  <c r="C156" i="2" s="1"/>
  <c r="H493" i="1"/>
  <c r="D156" i="2" s="1"/>
  <c r="I493" i="1"/>
  <c r="E156" i="2" s="1"/>
  <c r="J493" i="1"/>
  <c r="F156" i="2"/>
  <c r="F19" i="1"/>
  <c r="G607" i="1" s="1"/>
  <c r="G19" i="1"/>
  <c r="G608" i="1" s="1"/>
  <c r="J608" i="1" s="1"/>
  <c r="H19" i="1"/>
  <c r="G609" i="1" s="1"/>
  <c r="J609" i="1" s="1"/>
  <c r="I19" i="1"/>
  <c r="F33" i="1"/>
  <c r="F44" i="1" s="1"/>
  <c r="H607" i="1" s="1"/>
  <c r="G33" i="1"/>
  <c r="G44" i="1" s="1"/>
  <c r="H608" i="1" s="1"/>
  <c r="H33" i="1"/>
  <c r="I33" i="1"/>
  <c r="F43" i="1"/>
  <c r="G43" i="1"/>
  <c r="H43" i="1"/>
  <c r="H44" i="1" s="1"/>
  <c r="H609" i="1" s="1"/>
  <c r="I43" i="1"/>
  <c r="G615" i="1" s="1"/>
  <c r="F169" i="1"/>
  <c r="F184" i="1" s="1"/>
  <c r="I169" i="1"/>
  <c r="F175" i="1"/>
  <c r="G175" i="1"/>
  <c r="H175" i="1"/>
  <c r="H184" i="1" s="1"/>
  <c r="I175" i="1"/>
  <c r="I184" i="1" s="1"/>
  <c r="J175" i="1"/>
  <c r="G635" i="1" s="1"/>
  <c r="J635" i="1" s="1"/>
  <c r="F180" i="1"/>
  <c r="G180" i="1"/>
  <c r="G184" i="1" s="1"/>
  <c r="H180" i="1"/>
  <c r="I180" i="1"/>
  <c r="F203" i="1"/>
  <c r="F249" i="1" s="1"/>
  <c r="F263" i="1" s="1"/>
  <c r="G203" i="1"/>
  <c r="G249" i="1" s="1"/>
  <c r="G263" i="1" s="1"/>
  <c r="H203" i="1"/>
  <c r="I203" i="1"/>
  <c r="I249" i="1" s="1"/>
  <c r="I263" i="1" s="1"/>
  <c r="J203" i="1"/>
  <c r="K203" i="1"/>
  <c r="F221" i="1"/>
  <c r="G221" i="1"/>
  <c r="H221" i="1"/>
  <c r="H249" i="1" s="1"/>
  <c r="H263" i="1" s="1"/>
  <c r="I221" i="1"/>
  <c r="J221" i="1"/>
  <c r="J249" i="1" s="1"/>
  <c r="K221" i="1"/>
  <c r="K249" i="1" s="1"/>
  <c r="K263" i="1" s="1"/>
  <c r="F239" i="1"/>
  <c r="G239" i="1"/>
  <c r="H239" i="1"/>
  <c r="I239" i="1"/>
  <c r="J239" i="1"/>
  <c r="K239" i="1"/>
  <c r="F248" i="1"/>
  <c r="G248" i="1"/>
  <c r="L248" i="1" s="1"/>
  <c r="H248" i="1"/>
  <c r="I248" i="1"/>
  <c r="J248" i="1"/>
  <c r="K248" i="1"/>
  <c r="L262" i="1"/>
  <c r="F282" i="1"/>
  <c r="G282" i="1"/>
  <c r="H282" i="1"/>
  <c r="I282" i="1"/>
  <c r="I330" i="1" s="1"/>
  <c r="I344" i="1" s="1"/>
  <c r="F301" i="1"/>
  <c r="F330" i="1" s="1"/>
  <c r="F344" i="1" s="1"/>
  <c r="G301" i="1"/>
  <c r="G330" i="1" s="1"/>
  <c r="G344" i="1" s="1"/>
  <c r="H301" i="1"/>
  <c r="I301" i="1"/>
  <c r="F320" i="1"/>
  <c r="G320" i="1"/>
  <c r="H320" i="1"/>
  <c r="I320" i="1"/>
  <c r="F329" i="1"/>
  <c r="G329" i="1"/>
  <c r="H329" i="1"/>
  <c r="I329" i="1"/>
  <c r="L329" i="1" s="1"/>
  <c r="J329" i="1"/>
  <c r="K329" i="1"/>
  <c r="H330" i="1"/>
  <c r="H344" i="1"/>
  <c r="F354" i="1"/>
  <c r="G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L374" i="1"/>
  <c r="F385" i="1"/>
  <c r="G385" i="1"/>
  <c r="H385" i="1"/>
  <c r="I385" i="1"/>
  <c r="F393" i="1"/>
  <c r="G393" i="1"/>
  <c r="H393" i="1"/>
  <c r="I393" i="1"/>
  <c r="F399" i="1"/>
  <c r="G399" i="1"/>
  <c r="H399" i="1"/>
  <c r="I399" i="1"/>
  <c r="I400" i="1" s="1"/>
  <c r="F400" i="1"/>
  <c r="H633" i="1" s="1"/>
  <c r="G400" i="1"/>
  <c r="H635" i="1" s="1"/>
  <c r="H400" i="1"/>
  <c r="L405" i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I426" i="1" s="1"/>
  <c r="J411" i="1"/>
  <c r="J426" i="1" s="1"/>
  <c r="L411" i="1"/>
  <c r="L413" i="1"/>
  <c r="L414" i="1"/>
  <c r="L415" i="1"/>
  <c r="L416" i="1"/>
  <c r="L417" i="1"/>
  <c r="L418" i="1"/>
  <c r="F419" i="1"/>
  <c r="G419" i="1"/>
  <c r="H419" i="1"/>
  <c r="I419" i="1"/>
  <c r="J419" i="1"/>
  <c r="L419" i="1"/>
  <c r="L421" i="1"/>
  <c r="L425" i="1" s="1"/>
  <c r="L422" i="1"/>
  <c r="L423" i="1"/>
  <c r="L424" i="1"/>
  <c r="F425" i="1"/>
  <c r="G425" i="1"/>
  <c r="H425" i="1"/>
  <c r="I425" i="1"/>
  <c r="J425" i="1"/>
  <c r="G438" i="1"/>
  <c r="H438" i="1"/>
  <c r="G631" i="1" s="1"/>
  <c r="F444" i="1"/>
  <c r="F451" i="1" s="1"/>
  <c r="H629" i="1" s="1"/>
  <c r="G444" i="1"/>
  <c r="G451" i="1" s="1"/>
  <c r="H630" i="1" s="1"/>
  <c r="J630" i="1" s="1"/>
  <c r="H444" i="1"/>
  <c r="F450" i="1"/>
  <c r="G450" i="1"/>
  <c r="H450" i="1"/>
  <c r="H451" i="1"/>
  <c r="H631" i="1" s="1"/>
  <c r="F460" i="1"/>
  <c r="F466" i="1" s="1"/>
  <c r="H612" i="1" s="1"/>
  <c r="G460" i="1"/>
  <c r="H460" i="1"/>
  <c r="I460" i="1"/>
  <c r="I466" i="1" s="1"/>
  <c r="H615" i="1" s="1"/>
  <c r="J460" i="1"/>
  <c r="J466" i="1" s="1"/>
  <c r="H616" i="1" s="1"/>
  <c r="F464" i="1"/>
  <c r="G464" i="1"/>
  <c r="H464" i="1"/>
  <c r="I464" i="1"/>
  <c r="J464" i="1"/>
  <c r="G466" i="1"/>
  <c r="H613" i="1" s="1"/>
  <c r="H466" i="1"/>
  <c r="H614" i="1" s="1"/>
  <c r="J614" i="1" s="1"/>
  <c r="K485" i="1"/>
  <c r="K486" i="1"/>
  <c r="K487" i="1"/>
  <c r="K488" i="1"/>
  <c r="K489" i="1"/>
  <c r="K491" i="1"/>
  <c r="K492" i="1"/>
  <c r="K493" i="1"/>
  <c r="F507" i="1"/>
  <c r="G507" i="1"/>
  <c r="H507" i="1"/>
  <c r="I507" i="1"/>
  <c r="F514" i="1"/>
  <c r="G514" i="1"/>
  <c r="H514" i="1"/>
  <c r="H535" i="1" s="1"/>
  <c r="I514" i="1"/>
  <c r="J514" i="1"/>
  <c r="K514" i="1"/>
  <c r="F519" i="1"/>
  <c r="F535" i="1" s="1"/>
  <c r="G519" i="1"/>
  <c r="G535" i="1" s="1"/>
  <c r="H519" i="1"/>
  <c r="I519" i="1"/>
  <c r="I535" i="1" s="1"/>
  <c r="J519" i="1"/>
  <c r="J535" i="1" s="1"/>
  <c r="K519" i="1"/>
  <c r="K535" i="1" s="1"/>
  <c r="L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L547" i="1"/>
  <c r="L550" i="1" s="1"/>
  <c r="L548" i="1"/>
  <c r="L549" i="1"/>
  <c r="F550" i="1"/>
  <c r="G550" i="1"/>
  <c r="G561" i="1" s="1"/>
  <c r="H550" i="1"/>
  <c r="H561" i="1" s="1"/>
  <c r="I550" i="1"/>
  <c r="J550" i="1"/>
  <c r="J561" i="1" s="1"/>
  <c r="K550" i="1"/>
  <c r="K561" i="1" s="1"/>
  <c r="L553" i="1"/>
  <c r="G555" i="1"/>
  <c r="H555" i="1"/>
  <c r="J555" i="1"/>
  <c r="K555" i="1"/>
  <c r="L557" i="1"/>
  <c r="L558" i="1"/>
  <c r="L559" i="1"/>
  <c r="F560" i="1"/>
  <c r="G560" i="1"/>
  <c r="H560" i="1"/>
  <c r="I560" i="1"/>
  <c r="J560" i="1"/>
  <c r="K560" i="1"/>
  <c r="L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3" i="1"/>
  <c r="K584" i="1"/>
  <c r="K585" i="1"/>
  <c r="K586" i="1"/>
  <c r="K587" i="1"/>
  <c r="I588" i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10" i="1"/>
  <c r="G612" i="1"/>
  <c r="J612" i="1" s="1"/>
  <c r="G613" i="1"/>
  <c r="J613" i="1" s="1"/>
  <c r="G614" i="1"/>
  <c r="H617" i="1"/>
  <c r="H618" i="1"/>
  <c r="H619" i="1"/>
  <c r="H620" i="1"/>
  <c r="H621" i="1"/>
  <c r="H622" i="1"/>
  <c r="H623" i="1"/>
  <c r="H625" i="1"/>
  <c r="G626" i="1"/>
  <c r="H626" i="1"/>
  <c r="J626" i="1"/>
  <c r="H627" i="1"/>
  <c r="H628" i="1"/>
  <c r="G630" i="1"/>
  <c r="G633" i="1"/>
  <c r="J633" i="1" s="1"/>
  <c r="G634" i="1"/>
  <c r="H634" i="1"/>
  <c r="J634" i="1"/>
  <c r="H637" i="1"/>
  <c r="G639" i="1"/>
  <c r="G640" i="1"/>
  <c r="J640" i="1" s="1"/>
  <c r="H640" i="1"/>
  <c r="G641" i="1"/>
  <c r="J641" i="1" s="1"/>
  <c r="H641" i="1"/>
  <c r="G642" i="1"/>
  <c r="H642" i="1"/>
  <c r="J642" i="1"/>
  <c r="G643" i="1"/>
  <c r="H643" i="1"/>
  <c r="J643" i="1"/>
  <c r="G644" i="1"/>
  <c r="J644" i="1" s="1"/>
  <c r="H644" i="1"/>
  <c r="G645" i="1"/>
  <c r="J645" i="1" s="1"/>
  <c r="H645" i="1"/>
  <c r="L426" i="1" l="1"/>
  <c r="G628" i="1" s="1"/>
  <c r="J628" i="1" s="1"/>
  <c r="L400" i="1"/>
  <c r="C130" i="2"/>
  <c r="C133" i="2" s="1"/>
  <c r="H354" i="1"/>
  <c r="L352" i="1"/>
  <c r="H651" i="1" s="1"/>
  <c r="J631" i="1"/>
  <c r="J607" i="1"/>
  <c r="G153" i="2"/>
  <c r="C120" i="2"/>
  <c r="D73" i="2"/>
  <c r="D119" i="2"/>
  <c r="D120" i="2" s="1"/>
  <c r="D137" i="2" s="1"/>
  <c r="F651" i="1"/>
  <c r="J615" i="1"/>
  <c r="C73" i="2"/>
  <c r="F73" i="2"/>
  <c r="G22" i="2"/>
  <c r="G32" i="2" s="1"/>
  <c r="J33" i="1"/>
  <c r="K540" i="1"/>
  <c r="J624" i="1"/>
  <c r="G73" i="2"/>
  <c r="G37" i="2"/>
  <c r="G42" i="2" s="1"/>
  <c r="J43" i="1"/>
  <c r="K541" i="1"/>
  <c r="F542" i="1"/>
  <c r="H132" i="1"/>
  <c r="F29" i="13"/>
  <c r="J263" i="1"/>
  <c r="E33" i="13"/>
  <c r="D35" i="13" s="1"/>
  <c r="C8" i="13"/>
  <c r="G185" i="1"/>
  <c r="G618" i="1" s="1"/>
  <c r="J618" i="1" s="1"/>
  <c r="G650" i="1"/>
  <c r="J9" i="1"/>
  <c r="I438" i="1"/>
  <c r="G632" i="1" s="1"/>
  <c r="C39" i="10"/>
  <c r="C38" i="10"/>
  <c r="I185" i="1"/>
  <c r="G620" i="1" s="1"/>
  <c r="J620" i="1" s="1"/>
  <c r="G55" i="2"/>
  <c r="G96" i="2" s="1"/>
  <c r="G156" i="2"/>
  <c r="J542" i="1"/>
  <c r="J185" i="1"/>
  <c r="D55" i="2"/>
  <c r="D96" i="2" s="1"/>
  <c r="D31" i="13"/>
  <c r="C31" i="13" s="1"/>
  <c r="L330" i="1"/>
  <c r="L344" i="1" s="1"/>
  <c r="G623" i="1" s="1"/>
  <c r="J623" i="1" s="1"/>
  <c r="F55" i="2"/>
  <c r="F96" i="2" s="1"/>
  <c r="F33" i="13"/>
  <c r="F650" i="1"/>
  <c r="L249" i="1"/>
  <c r="L263" i="1" s="1"/>
  <c r="G622" i="1" s="1"/>
  <c r="J622" i="1" s="1"/>
  <c r="F555" i="1"/>
  <c r="F561" i="1" s="1"/>
  <c r="I652" i="1"/>
  <c r="E107" i="2"/>
  <c r="E137" i="2" s="1"/>
  <c r="L514" i="1"/>
  <c r="L535" i="1" s="1"/>
  <c r="D5" i="13"/>
  <c r="J352" i="1"/>
  <c r="J184" i="1"/>
  <c r="C103" i="2"/>
  <c r="C53" i="2"/>
  <c r="C54" i="2" s="1"/>
  <c r="K539" i="1"/>
  <c r="C29" i="10"/>
  <c r="F104" i="1"/>
  <c r="F185" i="1" s="1"/>
  <c r="G617" i="1" s="1"/>
  <c r="J617" i="1" s="1"/>
  <c r="L301" i="1"/>
  <c r="L552" i="1"/>
  <c r="K490" i="1"/>
  <c r="F438" i="1"/>
  <c r="G629" i="1" s="1"/>
  <c r="J629" i="1" s="1"/>
  <c r="J354" i="1"/>
  <c r="C122" i="2"/>
  <c r="E69" i="2"/>
  <c r="E70" i="2" s="1"/>
  <c r="E73" i="2" s="1"/>
  <c r="C48" i="2"/>
  <c r="E53" i="2"/>
  <c r="E54" i="2" s="1"/>
  <c r="E55" i="2" s="1"/>
  <c r="E96" i="2" s="1"/>
  <c r="I554" i="1"/>
  <c r="L554" i="1" s="1"/>
  <c r="H588" i="1"/>
  <c r="H639" i="1" s="1"/>
  <c r="J639" i="1" s="1"/>
  <c r="I450" i="1"/>
  <c r="K330" i="1"/>
  <c r="K344" i="1" s="1"/>
  <c r="C19" i="10"/>
  <c r="J330" i="1"/>
  <c r="J344" i="1" s="1"/>
  <c r="C101" i="2"/>
  <c r="C107" i="2" s="1"/>
  <c r="F77" i="2"/>
  <c r="F83" i="2" s="1"/>
  <c r="I44" i="1"/>
  <c r="H610" i="1" s="1"/>
  <c r="J610" i="1" s="1"/>
  <c r="D6" i="13"/>
  <c r="C6" i="13" s="1"/>
  <c r="I444" i="1"/>
  <c r="C106" i="2"/>
  <c r="C15" i="10"/>
  <c r="H104" i="1"/>
  <c r="H185" i="1" s="1"/>
  <c r="G619" i="1" s="1"/>
  <c r="J619" i="1" s="1"/>
  <c r="G616" i="1" l="1"/>
  <c r="J616" i="1" s="1"/>
  <c r="J44" i="1"/>
  <c r="H611" i="1" s="1"/>
  <c r="L555" i="1"/>
  <c r="L561" i="1" s="1"/>
  <c r="H650" i="1"/>
  <c r="H654" i="1" s="1"/>
  <c r="G43" i="2"/>
  <c r="L354" i="1"/>
  <c r="C36" i="10"/>
  <c r="G636" i="1"/>
  <c r="G621" i="1"/>
  <c r="J621" i="1" s="1"/>
  <c r="D29" i="13"/>
  <c r="C29" i="13" s="1"/>
  <c r="D33" i="13"/>
  <c r="D36" i="13" s="1"/>
  <c r="C5" i="13"/>
  <c r="G651" i="1"/>
  <c r="G654" i="1" s="1"/>
  <c r="I555" i="1"/>
  <c r="I561" i="1" s="1"/>
  <c r="K542" i="1"/>
  <c r="J19" i="1"/>
  <c r="G611" i="1" s="1"/>
  <c r="G9" i="2"/>
  <c r="G19" i="2" s="1"/>
  <c r="I451" i="1"/>
  <c r="H632" i="1" s="1"/>
  <c r="J632" i="1" s="1"/>
  <c r="C55" i="2"/>
  <c r="C96" i="2" s="1"/>
  <c r="H638" i="1"/>
  <c r="J638" i="1" s="1"/>
  <c r="G627" i="1"/>
  <c r="J627" i="1" s="1"/>
  <c r="H636" i="1"/>
  <c r="C136" i="2"/>
  <c r="C137" i="2" s="1"/>
  <c r="F654" i="1"/>
  <c r="G662" i="1" l="1"/>
  <c r="G657" i="1"/>
  <c r="C41" i="10"/>
  <c r="J611" i="1"/>
  <c r="H646" i="1"/>
  <c r="I651" i="1"/>
  <c r="J636" i="1"/>
  <c r="I650" i="1"/>
  <c r="G625" i="1"/>
  <c r="J625" i="1" s="1"/>
  <c r="C27" i="10"/>
  <c r="F662" i="1"/>
  <c r="C4" i="10" s="1"/>
  <c r="F657" i="1"/>
  <c r="H662" i="1"/>
  <c r="C6" i="10" s="1"/>
  <c r="H657" i="1"/>
  <c r="D37" i="10" l="1"/>
  <c r="D40" i="10"/>
  <c r="D35" i="10"/>
  <c r="D38" i="10"/>
  <c r="D39" i="10"/>
  <c r="C28" i="10"/>
  <c r="I654" i="1"/>
  <c r="D36" i="10"/>
  <c r="D22" i="10" l="1"/>
  <c r="D25" i="10"/>
  <c r="C30" i="10"/>
  <c r="D10" i="10"/>
  <c r="D28" i="10" s="1"/>
  <c r="D20" i="10"/>
  <c r="D24" i="10"/>
  <c r="D18" i="10"/>
  <c r="D11" i="10"/>
  <c r="D26" i="10"/>
  <c r="D17" i="10"/>
  <c r="D23" i="10"/>
  <c r="D16" i="10"/>
  <c r="D13" i="10"/>
  <c r="D12" i="10"/>
  <c r="D21" i="10"/>
  <c r="D19" i="10"/>
  <c r="D15" i="10"/>
  <c r="D27" i="10"/>
  <c r="I657" i="1"/>
  <c r="I662" i="1"/>
  <c r="C7" i="10" s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A4FD4859-3C3A-494B-9CA0-C12A0C6386FE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7C24147F-2001-4F2F-B0ED-40B0A6FF1C78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2D2526B1-DD23-49D1-9A58-DAD00BFBFDFA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58EAE6CB-9A48-409C-BBD7-5EF46B66891B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1DE822A3-3D16-4F0D-B0B5-B40A8AA2563E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5DCCFF9D-BF88-4561-87A2-47824A0C4BE5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A50C0BAC-D735-4FC9-B91A-DA335389D941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4E1BEE84-421F-4AF0-91BC-D615211FD94C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3B75A12F-F45F-450D-8409-B0A2EC603508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AA86ADF5-0DB9-4AE7-9928-2A8DD61B9F1B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5319CD2B-15BC-4CFE-B697-9A64EF532F8E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CFEF3F07-90BE-4A91-9F91-DAA4C61BBD21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<sst xmlns="http://schemas.openxmlformats.org/spreadsheetml/2006/main" count="3860" uniqueCount="897">
  <si>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</si>
  <si>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</si>
  <si>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</si>
  <si>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</si>
  <si>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</si>
  <si>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</si>
  <si>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</si>
  <si>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</si>
  <si>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</si>
  <si>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</si>
  <si>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</si>
  <si>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</si>
  <si>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</si>
  <si>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</si>
  <si>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</si>
  <si>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</si>
  <si>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</si>
  <si>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</si>
  <si>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</si>
  <si>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</si>
  <si>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</si>
  <si>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</si>
  <si>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</si>
  <si>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</si>
  <si>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</si>
  <si>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</si>
  <si>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</si>
  <si>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</si>
  <si>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</si>
  <si>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</si>
  <si>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</si>
  <si>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</si>
  <si>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</si>
  <si>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</si>
  <si>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</si>
  <si>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</si>
  <si>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</si>
  <si>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</si>
  <si>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</si>
  <si>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</si>
  <si>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</si>
  <si>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</si>
  <si>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</si>
  <si>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</si>
  <si>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</si>
  <si>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</si>
  <si>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</si>
  <si>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</si>
  <si>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</si>
  <si>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</si>
  <si>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</si>
  <si>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</si>
  <si>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</si>
  <si>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</si>
  <si>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</si>
  <si>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</si>
  <si>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</si>
  <si>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</si>
  <si>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</si>
  <si>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</si>
  <si>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</si>
  <si>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</si>
  <si>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</si>
  <si>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</si>
  <si>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</si>
  <si>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</si>
  <si>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</si>
  <si>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</si>
  <si>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</si>
  <si>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</si>
  <si>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</si>
  <si>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</si>
  <si>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</si>
  <si>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</si>
  <si>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</si>
  <si>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</si>
  <si>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</si>
  <si>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</si>
  <si>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</si>
  <si>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</si>
  <si>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</si>
  <si>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</si>
  <si>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</si>
  <si>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</si>
  <si>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</si>
  <si>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</si>
  <si>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</si>
  <si>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</si>
  <si>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</si>
  <si>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</si>
  <si>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</si>
  <si>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</si>
  <si>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</si>
  <si>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</si>
  <si>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</si>
  <si>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</si>
  <si>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</si>
  <si>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</si>
  <si>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</si>
  <si>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</si>
  <si>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</si>
  <si>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</si>
  <si>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</si>
  <si>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</si>
  <si>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</si>
  <si>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</si>
  <si>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</si>
  <si>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</si>
  <si>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</si>
  <si>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</si>
  <si>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</si>
  <si>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</si>
  <si>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</si>
  <si>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</si>
  <si>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</si>
  <si>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</si>
  <si>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</si>
  <si>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</si>
  <si>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</si>
  <si>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</si>
  <si>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</si>
  <si>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</si>
  <si>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</si>
  <si>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</si>
  <si>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</si>
  <si>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</si>
  <si>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</si>
  <si>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</si>
  <si>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</si>
  <si>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</si>
  <si>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</si>
  <si>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</si>
  <si>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</si>
  <si>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</si>
  <si>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</si>
  <si>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</si>
  <si>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</si>
  <si>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</si>
  <si>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</si>
  <si>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</si>
  <si>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</si>
  <si>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</si>
  <si>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</si>
  <si>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</si>
  <si>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</si>
  <si>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</si>
  <si>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</si>
  <si>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</si>
  <si>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</si>
  <si>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</si>
  <si>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</si>
  <si>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</si>
  <si>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</si>
  <si>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</si>
  <si>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</si>
  <si>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</si>
  <si>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</si>
  <si>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</si>
  <si>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</si>
  <si>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</si>
  <si>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</si>
  <si>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</si>
  <si>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</si>
  <si>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</si>
  <si>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</si>
  <si>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</si>
  <si>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</si>
  <si>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</si>
  <si>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</si>
  <si>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</si>
  <si>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</si>
  <si>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</si>
  <si>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</si>
  <si>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</si>
  <si>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</si>
  <si>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</si>
  <si>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</si>
  <si>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</si>
  <si>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</si>
  <si>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</si>
  <si>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</si>
  <si>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</si>
  <si>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</si>
  <si>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</si>
  <si>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</si>
  <si>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</si>
  <si>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</si>
  <si>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</si>
  <si>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</si>
  <si>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</si>
  <si>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</si>
  <si>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</si>
  <si>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</si>
  <si>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</si>
  <si>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</si>
  <si>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</si>
  <si>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</si>
  <si>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</si>
  <si>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</si>
  <si>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</si>
  <si>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</si>
  <si>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</si>
  <si>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</si>
  <si>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</si>
  <si>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</si>
  <si>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</si>
  <si>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</si>
  <si>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</si>
  <si>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</si>
  <si>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</si>
  <si>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</si>
  <si>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</si>
  <si>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</si>
  <si>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</si>
  <si>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</si>
  <si>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</si>
  <si>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</si>
  <si>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</si>
  <si>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</si>
  <si>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</si>
  <si>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</si>
  <si>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</si>
  <si>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</si>
  <si>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</si>
  <si>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</si>
  <si>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</si>
  <si>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</si>
  <si>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</si>
  <si>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</si>
  <si>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</si>
  <si>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</si>
  <si>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</si>
  <si>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</si>
  <si>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</si>
  <si>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</si>
  <si>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</si>
  <si>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</si>
  <si>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</si>
  <si>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</si>
  <si>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</si>
  <si>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</si>
  <si>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</si>
  <si>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</si>
  <si>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</si>
  <si>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</si>
  <si>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</si>
  <si>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</si>
  <si>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</si>
  <si>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</si>
  <si>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</si>
  <si>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</si>
  <si>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</si>
  <si>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</si>
  <si>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</si>
  <si>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</si>
  <si>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</si>
  <si>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</si>
  <si>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</si>
  <si>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</si>
  <si>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</si>
  <si>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</si>
  <si>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</si>
  <si>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</si>
  <si>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</si>
  <si>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</si>
  <si>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</si>
  <si>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</si>
  <si>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</si>
  <si>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</si>
  <si>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</si>
  <si>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</si>
  <si>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</si>
  <si>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</si>
  <si>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</si>
  <si>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</si>
  <si>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</si>
  <si>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</si>
  <si>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</si>
  <si>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</si>
  <si>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</si>
  <si>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</si>
  <si>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</si>
  <si>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</si>
  <si>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</si>
  <si>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</si>
  <si>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</si>
  <si>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</si>
  <si>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</si>
  <si>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</si>
  <si>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</si>
  <si>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</si>
  <si>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</si>
  <si>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</si>
  <si>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</si>
  <si>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</si>
  <si>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</si>
  <si>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</si>
  <si>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</si>
  <si>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</si>
  <si>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</si>
  <si>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</si>
  <si>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</si>
  <si>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</si>
  <si>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</si>
  <si>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</si>
  <si>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</si>
  <si>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</si>
  <si>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</si>
  <si>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</si>
  <si>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</si>
  <si>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</si>
  <si>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</si>
  <si>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</si>
  <si>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</si>
  <si>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</si>
  <si>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</si>
  <si>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</si>
  <si>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</si>
  <si>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</si>
  <si>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</si>
  <si>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</si>
  <si>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</si>
  <si>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</si>
  <si>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</si>
  <si>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</si>
  <si>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</si>
  <si>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</si>
  <si>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</si>
  <si>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</si>
  <si>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</si>
  <si>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</si>
  <si>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</si>
  <si>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</si>
  <si>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</si>
  <si>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</si>
  <si>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</si>
  <si>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</si>
  <si>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</si>
  <si>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</si>
  <si>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</si>
  <si>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</si>
  <si>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</si>
  <si>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</si>
  <si>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</si>
  <si>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</si>
  <si>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</si>
  <si>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</si>
  <si>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</si>
  <si>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</si>
  <si>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</si>
  <si>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</si>
  <si>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</si>
  <si>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</si>
  <si>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</si>
  <si>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</si>
  <si>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</si>
  <si>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</si>
  <si>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</si>
  <si>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</si>
  <si>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</si>
  <si>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</si>
  <si>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</si>
  <si>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</si>
  <si>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</si>
  <si>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</si>
  <si>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</si>
  <si>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</si>
  <si>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</si>
  <si>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</si>
  <si>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</si>
  <si>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</si>
  <si>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</si>
  <si>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</si>
  <si>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</si>
  <si>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</si>
  <si>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</si>
  <si>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</si>
  <si>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</si>
  <si>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</si>
  <si>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</si>
  <si>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</si>
  <si>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</si>
  <si>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</si>
  <si>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</si>
  <si>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</si>
  <si>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</si>
  <si>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</si>
  <si>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</si>
  <si>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</si>
  <si>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</si>
  <si>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</si>
  <si>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</si>
  <si>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</si>
  <si>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</si>
  <si>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</si>
  <si>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</si>
  <si>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</si>
  <si>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</si>
  <si>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</si>
  <si>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</si>
  <si>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</si>
  <si>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</si>
  <si>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</si>
  <si>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</si>
  <si>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</si>
  <si>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</si>
  <si>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</si>
  <si>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</si>
  <si>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</si>
  <si>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</si>
  <si>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</si>
  <si>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</si>
  <si>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</si>
  <si>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</si>
  <si>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</si>
  <si>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</si>
  <si>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</si>
  <si>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</si>
  <si>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</si>
  <si>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</si>
  <si>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</si>
  <si>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</si>
  <si>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</si>
  <si>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</si>
  <si>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</si>
  <si>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</si>
  <si>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</si>
  <si>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</si>
  <si>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</si>
  <si>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</si>
  <si>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</si>
  <si>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</si>
  <si>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</si>
  <si>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</si>
  <si>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</si>
  <si>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</si>
  <si>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</si>
  <si>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</si>
  <si>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</si>
  <si>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</si>
  <si>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</si>
  <si>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</si>
  <si>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</si>
  <si>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</si>
  <si>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</si>
  <si>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</si>
  <si>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</si>
  <si>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</si>
  <si>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</si>
  <si>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</si>
  <si>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</si>
  <si>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</si>
  <si>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</si>
  <si>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</si>
  <si>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</si>
  <si>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</si>
  <si>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</si>
  <si>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</si>
  <si>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</si>
  <si>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</si>
  <si>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</si>
  <si>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</si>
  <si>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</si>
  <si>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</si>
  <si>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</si>
  <si>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</si>
  <si>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</si>
  <si>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</si>
  <si>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</si>
  <si>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</si>
  <si>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</si>
  <si>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</si>
  <si>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</si>
  <si>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</si>
  <si>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</si>
  <si>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</si>
  <si>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</si>
  <si>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</si>
  <si>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</si>
  <si>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</si>
  <si>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</si>
  <si>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</si>
  <si>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</si>
  <si>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</si>
  <si>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</si>
  <si>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</si>
  <si>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</si>
  <si>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</si>
  <si>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</si>
  <si>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</si>
  <si>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</si>
  <si>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</si>
  <si>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</si>
  <si>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</si>
  <si>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</si>
  <si>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</si>
  <si>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</si>
  <si>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</si>
  <si>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</si>
  <si>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</si>
  <si>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</si>
  <si>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</si>
  <si>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</si>
  <si>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</si>
  <si>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</si>
  <si>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</si>
  <si>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</si>
  <si>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</si>
  <si>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</si>
  <si>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</si>
  <si>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</si>
  <si>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</si>
  <si>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</si>
  <si>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</si>
  <si>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</si>
  <si>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</si>
  <si>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</si>
  <si>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</si>
  <si>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</si>
  <si>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</si>
  <si>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</si>
  <si>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</si>
  <si>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</si>
  <si>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</si>
  <si>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</si>
  <si>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</si>
  <si>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</si>
  <si>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</si>
  <si>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</si>
  <si>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</si>
  <si>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</si>
  <si>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</si>
  <si>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</si>
  <si>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</si>
  <si>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</si>
  <si>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</si>
  <si>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</si>
  <si>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</si>
  <si>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</si>
  <si>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</si>
  <si>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</si>
  <si>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</si>
  <si>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</si>
  <si>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</si>
  <si>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</si>
  <si>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</si>
  <si>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</si>
  <si>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</si>
  <si>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</si>
  <si>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</si>
  <si>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</si>
  <si>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</si>
  <si>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</si>
  <si>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</si>
  <si>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</si>
  <si>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</si>
  <si>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</si>
  <si>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</si>
  <si>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</si>
  <si>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</si>
  <si>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</si>
  <si>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</si>
  <si>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</si>
  <si>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</si>
  <si>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</si>
  <si>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</si>
  <si>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</si>
  <si>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</si>
  <si>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</si>
  <si>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</si>
  <si>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</si>
  <si>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</si>
  <si>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</si>
  <si>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</si>
  <si>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</si>
  <si>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</si>
  <si>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</si>
  <si>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</si>
  <si>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</si>
  <si>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</si>
  <si>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</si>
  <si>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</si>
  <si>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</si>
  <si>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</si>
  <si>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</si>
  <si>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</si>
  <si>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</si>
  <si>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</si>
  <si>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</si>
  <si>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</si>
  <si>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</si>
  <si>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</si>
  <si>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</si>
  <si>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</si>
  <si>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</si>
  <si>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</si>
  <si>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</si>
  <si>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</si>
  <si>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</si>
  <si>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</si>
  <si>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</si>
  <si>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</si>
  <si>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</si>
  <si>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</si>
  <si>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</si>
  <si>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</si>
  <si>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</si>
  <si>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</si>
  <si>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</si>
  <si>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</si>
  <si>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</si>
  <si>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</si>
  <si>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</si>
  <si>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</si>
  <si>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</si>
  <si>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</si>
  <si>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</si>
  <si>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</si>
  <si>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</si>
  <si>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</si>
  <si>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</si>
  <si>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</si>
  <si>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</si>
  <si>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</si>
  <si>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</si>
  <si>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</si>
  <si>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</si>
  <si>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</si>
  <si>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</si>
  <si>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</si>
  <si>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</si>
  <si>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</si>
  <si>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</si>
  <si>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</si>
  <si>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</si>
  <si>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</si>
  <si>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</si>
  <si>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</si>
  <si>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</si>
  <si>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</si>
  <si>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</si>
  <si>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</si>
  <si>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</si>
  <si>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</si>
  <si>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</si>
  <si>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</si>
  <si>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</si>
  <si>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</si>
  <si>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</si>
  <si>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</si>
  <si>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</si>
  <si>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</si>
  <si>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</si>
  <si>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</si>
  <si>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</si>
  <si>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</si>
  <si>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</si>
  <si>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</si>
  <si>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</si>
  <si>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</si>
  <si>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</si>
  <si>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</si>
  <si>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</si>
  <si>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</si>
  <si>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</si>
  <si>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</si>
  <si>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</si>
  <si>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</si>
  <si>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</si>
  <si>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</si>
  <si>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</si>
  <si>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</si>
  <si>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</si>
  <si>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</si>
  <si>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</si>
  <si>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</si>
  <si>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</si>
  <si>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</si>
  <si>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</si>
  <si>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</si>
  <si>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</si>
  <si>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</si>
  <si>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</si>
  <si>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</si>
  <si>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</si>
  <si>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</si>
  <si>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</si>
  <si>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</si>
  <si>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</si>
  <si>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</si>
  <si>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</si>
  <si>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</si>
  <si>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</si>
  <si>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</si>
  <si>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</si>
  <si>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</si>
  <si>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</si>
  <si>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</si>
  <si>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</si>
  <si>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</si>
  <si>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</si>
  <si>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</si>
  <si>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</si>
  <si>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</si>
  <si>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</si>
  <si>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</si>
  <si>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</si>
  <si>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</si>
  <si>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</si>
  <si>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</si>
  <si>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</si>
  <si>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</si>
  <si>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</si>
  <si>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</si>
  <si>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</si>
  <si>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</si>
  <si>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</si>
  <si>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</si>
  <si>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</si>
  <si>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</si>
  <si>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</si>
  <si>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</si>
  <si>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</si>
  <si>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</si>
  <si>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</si>
  <si>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</si>
  <si>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</si>
  <si>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</si>
  <si>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</si>
  <si>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</si>
  <si>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</si>
  <si>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</si>
  <si>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</si>
  <si>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</si>
  <si>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</si>
  <si>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</si>
  <si>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</si>
  <si>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</si>
  <si>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</si>
  <si>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</si>
  <si>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</si>
  <si>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</si>
  <si>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</si>
  <si>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</si>
  <si>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</si>
  <si>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</si>
  <si>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</si>
  <si>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</si>
  <si>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</si>
  <si>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</si>
  <si>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</si>
  <si>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</si>
  <si>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</si>
  <si>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</si>
  <si>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</si>
  <si>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</si>
  <si>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</si>
  <si>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</si>
  <si>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</si>
  <si>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</si>
  <si>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</si>
  <si>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</si>
  <si>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</si>
  <si>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</si>
  <si>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</si>
  <si>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</si>
  <si>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</si>
  <si>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</si>
  <si>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</si>
  <si>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</si>
  <si>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</si>
  <si>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</si>
  <si>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</si>
  <si>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</si>
  <si>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</si>
  <si>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</si>
  <si>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</si>
  <si>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</si>
  <si>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</si>
  <si>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</si>
  <si>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</si>
  <si>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</si>
  <si>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</si>
  <si>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</si>
  <si>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</si>
  <si>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</si>
  <si>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</si>
  <si>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</si>
  <si>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</si>
  <si>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</si>
  <si>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</si>
  <si>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</si>
  <si>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</si>
  <si>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</si>
  <si>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</si>
  <si>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</si>
  <si>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</si>
  <si>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</si>
  <si>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</si>
  <si>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</si>
  <si>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</si>
  <si>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</si>
  <si>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</si>
  <si>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</si>
  <si>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</si>
  <si>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</si>
  <si>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</si>
  <si>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</si>
  <si>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</si>
  <si>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</si>
  <si>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</si>
  <si>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</si>
  <si>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</si>
  <si>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</si>
  <si>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</si>
  <si>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</si>
  <si>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</si>
  <si>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</si>
  <si>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</si>
  <si>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</si>
  <si>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</si>
  <si>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</si>
  <si>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</si>
  <si>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</si>
  <si>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</si>
  <si>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</si>
  <si>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</si>
  <si>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</si>
  <si>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</si>
  <si>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</si>
  <si>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</si>
  <si>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</si>
  <si>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</si>
  <si>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</si>
  <si>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</si>
  <si>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</si>
  <si>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</si>
  <si>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</si>
  <si>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</si>
  <si>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</si>
  <si>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</si>
  <si>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</si>
  <si>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</si>
  <si>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</si>
  <si>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</si>
  <si>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</si>
  <si>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</si>
  <si>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</si>
  <si>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</si>
  <si>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</si>
  <si>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</si>
  <si>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</si>
  <si>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</si>
  <si>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</si>
  <si>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</si>
  <si>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</si>
  <si>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</si>
  <si>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</si>
  <si>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</si>
  <si>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</si>
  <si>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</si>
  <si>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</si>
  <si>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</si>
  <si>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</si>
  <si>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</si>
  <si>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</si>
  <si>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</si>
  <si>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</si>
  <si>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</si>
  <si>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</si>
  <si>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</si>
  <si>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</si>
  <si>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</si>
  <si>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</si>
  <si>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</si>
  <si>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</si>
  <si>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</si>
  <si>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</si>
  <si>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</si>
  <si>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</si>
  <si>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</si>
  <si>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</si>
  <si>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</si>
  <si>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</si>
  <si>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</si>
  <si>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</si>
  <si>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</si>
  <si>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</si>
  <si>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</si>
  <si>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</si>
  <si>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</si>
  <si>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</si>
  <si>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</si>
  <si>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</si>
  <si>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Inter-Lakes School District</t>
  </si>
  <si>
    <t>07/07</t>
  </si>
  <si>
    <t>08/12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</si>
</sst>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F459-7C2A-4B96-BF98-B629DBA4C97C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269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1403332.1</v>
      </c>
      <c r="G9" s="18"/>
      <c r="H9" s="18"/>
      <c r="I9" s="18">
        <v>3231.11</v>
      </c>
      <c r="J9" s="67">
        <f>SUM(I431)</f>
        <v>490778.63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2107773.5499999998</v>
      </c>
      <c r="G12" s="18">
        <v>1001751.02</v>
      </c>
      <c r="H12" s="18">
        <f>605479.44+286439.76+37900.29</f>
        <v>929819.49</v>
      </c>
      <c r="I12" s="18">
        <v>22.38</v>
      </c>
      <c r="J12" s="67">
        <f>SUM(I433)</f>
        <v>25000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92120.73</v>
      </c>
      <c r="G13" s="18">
        <v>57838.720000000001</v>
      </c>
      <c r="H13" s="18">
        <f>117345.81+41570.28</f>
        <v>158916.09</v>
      </c>
      <c r="I13" s="18"/>
      <c r="J13" s="67">
        <f>SUM(I434)</f>
        <v>20000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-1159250.3600000001</v>
      </c>
      <c r="G14" s="18">
        <v>-3718.95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15000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2458976.0199999996</v>
      </c>
      <c r="G19" s="41">
        <f>SUM(G9:G18)</f>
        <v>1055870.79</v>
      </c>
      <c r="H19" s="41">
        <f>SUM(H9:H18)</f>
        <v>1088735.58</v>
      </c>
      <c r="I19" s="41">
        <f>SUM(I9:I18)</f>
        <v>3253.4900000000002</v>
      </c>
      <c r="J19" s="41">
        <f>SUM(J9:J18)</f>
        <v>535778.63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1956592.89</v>
      </c>
      <c r="G23" s="18">
        <v>1020777.82</v>
      </c>
      <c r="H23" s="18">
        <f>717938.95+314129.34+29905.06</f>
        <v>1061973.3500000001</v>
      </c>
      <c r="I23" s="18">
        <v>22.38</v>
      </c>
      <c r="J23" s="67">
        <f>SUM(I440)</f>
        <v>25000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185929.51</v>
      </c>
      <c r="G25" s="18">
        <v>497.75</v>
      </c>
      <c r="H25" s="18">
        <f>4886.3+2193.93</f>
        <v>7080.23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11992.86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11686.77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2154515.2599999998</v>
      </c>
      <c r="G33" s="41">
        <f>SUM(G23:G32)</f>
        <v>1021275.57</v>
      </c>
      <c r="H33" s="41">
        <f>SUM(H23:H32)</f>
        <v>1080740.3500000001</v>
      </c>
      <c r="I33" s="41">
        <f>SUM(I23:I32)</f>
        <v>22.38</v>
      </c>
      <c r="J33" s="41">
        <f>SUM(J23:J32)</f>
        <v>25000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115122.16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34595.22</v>
      </c>
      <c r="H41" s="18">
        <v>7995.23</v>
      </c>
      <c r="I41" s="18">
        <v>3231.11</v>
      </c>
      <c r="J41" s="13">
        <f>SUM(I449)</f>
        <v>510778.63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189338.6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304460.76</v>
      </c>
      <c r="G43" s="41">
        <f>SUM(G35:G42)</f>
        <v>34595.22</v>
      </c>
      <c r="H43" s="41">
        <f>SUM(H35:H42)</f>
        <v>7995.23</v>
      </c>
      <c r="I43" s="41">
        <f>SUM(I35:I42)</f>
        <v>3231.11</v>
      </c>
      <c r="J43" s="41">
        <f>SUM(J35:J42)</f>
        <v>510778.63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2458976.0199999996</v>
      </c>
      <c r="G44" s="41">
        <f>G43+G33</f>
        <v>1055870.79</v>
      </c>
      <c r="H44" s="41">
        <f>H43+H33</f>
        <v>1088735.58</v>
      </c>
      <c r="I44" s="41">
        <f>I43+I33</f>
        <v>3253.4900000000002</v>
      </c>
      <c r="J44" s="41">
        <f>J43+J33</f>
        <v>535778.63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11159851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11159851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14250.39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25667.3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39917.69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6097.36</v>
      </c>
      <c r="G88" s="18"/>
      <c r="H88" s="18"/>
      <c r="I88" s="18">
        <v>0.94</v>
      </c>
      <c r="J88" s="18">
        <f>185.47+683.78+1496.12+30.36</f>
        <v>2395.73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269029.25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3281.95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f>11137.67+24770</f>
        <v>35907.67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10876.9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>
        <f>1008.21+37900.29</f>
        <v>38908.5</v>
      </c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49174.02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778.14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95239.14</v>
      </c>
      <c r="G103" s="41">
        <f>SUM(G88:G102)</f>
        <v>269029.25</v>
      </c>
      <c r="H103" s="41">
        <f>SUM(H88:H102)</f>
        <v>49785.4</v>
      </c>
      <c r="I103" s="41">
        <f>SUM(I88:I102)</f>
        <v>0.94</v>
      </c>
      <c r="J103" s="41">
        <f>SUM(J88:J102)</f>
        <v>2395.73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11295007.83</v>
      </c>
      <c r="G104" s="41">
        <f>G52+G103</f>
        <v>269029.25</v>
      </c>
      <c r="H104" s="41">
        <f>H52+H71+H86+H103</f>
        <v>49785.4</v>
      </c>
      <c r="I104" s="41">
        <f>I52+I103</f>
        <v>0.94</v>
      </c>
      <c r="J104" s="41">
        <f>J52+J103</f>
        <v>2395.73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116906.2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6246553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44854.8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6408314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171611.93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144626.44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10514.2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5254.29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9000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f>31361+56340.69</f>
        <v>87701.69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335752.57</v>
      </c>
      <c r="G128" s="41">
        <f>SUM(G115:G127)</f>
        <v>5254.29</v>
      </c>
      <c r="H128" s="41">
        <f>SUM(H115:H127)</f>
        <v>87701.69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6744066.5700000003</v>
      </c>
      <c r="G132" s="41">
        <f>G113+SUM(G128:G129)</f>
        <v>5254.29</v>
      </c>
      <c r="H132" s="41">
        <f>H113+SUM(H128:H131)</f>
        <v>87701.69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162299.56+18024.03+17758.99+2388.56+3966.53+81265.83</f>
        <v>285703.5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8831.93+962.63+80369.7+448.75+19234.97+5240.6+5094.06+2795.34</f>
        <v>122977.98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149028.42000000001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87971.74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55830.46</v>
      </c>
      <c r="G153" s="18"/>
      <c r="H153" s="18">
        <v>29131.09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143802.20000000001</v>
      </c>
      <c r="G154" s="41">
        <f>SUM(G142:G153)</f>
        <v>149028.42000000001</v>
      </c>
      <c r="H154" s="41">
        <f>SUM(H142:H153)</f>
        <v>437812.57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11742.04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155544.24000000002</v>
      </c>
      <c r="G161" s="41">
        <f>G139+G154+SUM(G155:G160)</f>
        <v>149028.42000000001</v>
      </c>
      <c r="H161" s="41">
        <f>H139+H154+SUM(H155:H160)</f>
        <v>437812.57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20000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20000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20000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18194618.639999997</v>
      </c>
      <c r="G185" s="47">
        <f>G104+G132+G161+G184</f>
        <v>423311.95999999996</v>
      </c>
      <c r="H185" s="47">
        <f>H104+H132+H161+H184</f>
        <v>575299.66</v>
      </c>
      <c r="I185" s="47">
        <f>I104+I132+I161+I184</f>
        <v>0.94</v>
      </c>
      <c r="J185" s="47">
        <f>J104+J132+J184</f>
        <v>22395.73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3303684.06</v>
      </c>
      <c r="G189" s="18">
        <v>1227031.6000000001</v>
      </c>
      <c r="H189" s="18">
        <v>50432.480000000003</v>
      </c>
      <c r="I189" s="18">
        <v>112294.74</v>
      </c>
      <c r="J189" s="18">
        <v>5650.12</v>
      </c>
      <c r="K189" s="18">
        <v>182</v>
      </c>
      <c r="L189" s="19">
        <f>SUM(F189:K189)</f>
        <v>4699275.0000000009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1552445.8</v>
      </c>
      <c r="G190" s="18">
        <v>655107.07999999996</v>
      </c>
      <c r="H190" s="18">
        <v>34982.17</v>
      </c>
      <c r="I190" s="18">
        <v>5602.23</v>
      </c>
      <c r="J190" s="18">
        <v>65</v>
      </c>
      <c r="K190" s="18"/>
      <c r="L190" s="19">
        <f>SUM(F190:K190)</f>
        <v>2248202.2799999998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88181</v>
      </c>
      <c r="G192" s="18">
        <v>11619.53</v>
      </c>
      <c r="H192" s="18">
        <v>1161.25</v>
      </c>
      <c r="I192" s="18">
        <v>7133.92</v>
      </c>
      <c r="J192" s="18"/>
      <c r="K192" s="18">
        <v>6772.5</v>
      </c>
      <c r="L192" s="19">
        <f>SUM(F192:K192)</f>
        <v>114868.2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518967.32</v>
      </c>
      <c r="G194" s="18">
        <v>202936.87</v>
      </c>
      <c r="H194" s="18">
        <v>105360.44</v>
      </c>
      <c r="I194" s="18">
        <v>8043.38</v>
      </c>
      <c r="J194" s="18">
        <v>402.92</v>
      </c>
      <c r="K194" s="18">
        <v>151.25</v>
      </c>
      <c r="L194" s="19">
        <f t="shared" ref="L194:L200" si="0">SUM(F194:K194)</f>
        <v>835862.17999999993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370596.22</v>
      </c>
      <c r="G195" s="18">
        <v>138297.03</v>
      </c>
      <c r="H195" s="18">
        <v>86773.55</v>
      </c>
      <c r="I195" s="18">
        <v>78733.22</v>
      </c>
      <c r="J195" s="18">
        <v>97832.34</v>
      </c>
      <c r="K195" s="18">
        <v>2964.86</v>
      </c>
      <c r="L195" s="19">
        <f t="shared" si="0"/>
        <v>775197.22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5661.5</v>
      </c>
      <c r="G196" s="18">
        <v>451.57</v>
      </c>
      <c r="H196" s="18">
        <v>499086.17</v>
      </c>
      <c r="I196" s="18">
        <v>1591.42</v>
      </c>
      <c r="J196" s="18"/>
      <c r="K196" s="18">
        <v>5694.72</v>
      </c>
      <c r="L196" s="19">
        <f t="shared" si="0"/>
        <v>512485.37999999995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457666.33</v>
      </c>
      <c r="G197" s="18">
        <v>201955.76</v>
      </c>
      <c r="H197" s="18">
        <v>57066.89</v>
      </c>
      <c r="I197" s="18">
        <v>3939.57</v>
      </c>
      <c r="J197" s="18">
        <v>2438.65</v>
      </c>
      <c r="K197" s="18">
        <v>2233</v>
      </c>
      <c r="L197" s="19">
        <f t="shared" si="0"/>
        <v>725300.20000000007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8913.1200000000008</v>
      </c>
      <c r="G198" s="18">
        <v>745.06</v>
      </c>
      <c r="H198" s="18"/>
      <c r="I198" s="18">
        <v>1916.63</v>
      </c>
      <c r="J198" s="18"/>
      <c r="K198" s="18"/>
      <c r="L198" s="19">
        <f t="shared" si="0"/>
        <v>11574.810000000001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360866.89</v>
      </c>
      <c r="G199" s="18">
        <v>187541.23</v>
      </c>
      <c r="H199" s="18">
        <v>354897.79</v>
      </c>
      <c r="I199" s="18">
        <v>227351.46</v>
      </c>
      <c r="J199" s="18">
        <v>165542.47</v>
      </c>
      <c r="K199" s="18">
        <v>65</v>
      </c>
      <c r="L199" s="19">
        <f t="shared" si="0"/>
        <v>1296264.8399999999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499820.18</v>
      </c>
      <c r="I200" s="18"/>
      <c r="J200" s="18"/>
      <c r="K200" s="18"/>
      <c r="L200" s="19">
        <f t="shared" si="0"/>
        <v>499820.18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>
        <v>221888.8</v>
      </c>
      <c r="H201" s="18"/>
      <c r="I201" s="18"/>
      <c r="J201" s="18"/>
      <c r="K201" s="18"/>
      <c r="L201" s="19">
        <f>SUM(F201:K201)</f>
        <v>221888.8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6666982.2400000002</v>
      </c>
      <c r="G203" s="41">
        <f t="shared" si="1"/>
        <v>2847574.5299999993</v>
      </c>
      <c r="H203" s="41">
        <f t="shared" si="1"/>
        <v>1689580.92</v>
      </c>
      <c r="I203" s="41">
        <f t="shared" si="1"/>
        <v>446606.57</v>
      </c>
      <c r="J203" s="41">
        <f t="shared" si="1"/>
        <v>271931.5</v>
      </c>
      <c r="K203" s="41">
        <f t="shared" si="1"/>
        <v>18063.330000000002</v>
      </c>
      <c r="L203" s="41">
        <f t="shared" si="1"/>
        <v>11940739.090000002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1782564.13</v>
      </c>
      <c r="G225" s="18">
        <v>670464.38</v>
      </c>
      <c r="H225" s="18">
        <v>21986.34</v>
      </c>
      <c r="I225" s="18">
        <v>125658.34</v>
      </c>
      <c r="J225" s="18">
        <v>5644.15</v>
      </c>
      <c r="K225" s="18">
        <v>0</v>
      </c>
      <c r="L225" s="19">
        <f>SUM(F225:K225)</f>
        <v>2606317.3399999994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345897.99</v>
      </c>
      <c r="G226" s="18">
        <v>119746.45</v>
      </c>
      <c r="H226" s="18">
        <v>185822.16</v>
      </c>
      <c r="I226" s="18">
        <v>2335.83</v>
      </c>
      <c r="J226" s="18">
        <v>35</v>
      </c>
      <c r="K226" s="18">
        <v>0</v>
      </c>
      <c r="L226" s="19">
        <f>SUM(F226:K226)</f>
        <v>653837.42999999993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56798.58</v>
      </c>
      <c r="I227" s="18"/>
      <c r="J227" s="18"/>
      <c r="K227" s="18"/>
      <c r="L227" s="19">
        <f>SUM(F227:K227)</f>
        <v>56798.58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130537</v>
      </c>
      <c r="G228" s="18">
        <v>15216.56</v>
      </c>
      <c r="H228" s="18">
        <v>48608.14</v>
      </c>
      <c r="I228" s="18">
        <v>17030.47</v>
      </c>
      <c r="J228" s="18">
        <v>12851.06</v>
      </c>
      <c r="K228" s="18">
        <v>13933</v>
      </c>
      <c r="L228" s="19">
        <f>SUM(F228:K228)</f>
        <v>238176.23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258739.15</v>
      </c>
      <c r="G230" s="18">
        <v>106792.34</v>
      </c>
      <c r="H230" s="18">
        <v>62469.03</v>
      </c>
      <c r="I230" s="18">
        <v>8101.73</v>
      </c>
      <c r="J230" s="18">
        <v>216.95</v>
      </c>
      <c r="K230" s="18">
        <v>8.75</v>
      </c>
      <c r="L230" s="19">
        <f t="shared" ref="L230:L236" si="4">SUM(F230:K230)</f>
        <v>436327.95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209943.38</v>
      </c>
      <c r="G231" s="18">
        <v>77477.62</v>
      </c>
      <c r="H231" s="18">
        <v>54899.07</v>
      </c>
      <c r="I231" s="18">
        <v>36511.879999999997</v>
      </c>
      <c r="J231" s="18">
        <v>52908.959999999999</v>
      </c>
      <c r="K231" s="18">
        <v>303.2</v>
      </c>
      <c r="L231" s="19">
        <f t="shared" si="4"/>
        <v>432044.11000000004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3048.5</v>
      </c>
      <c r="G232" s="18">
        <v>243.15</v>
      </c>
      <c r="H232" s="18">
        <v>268738.71000000002</v>
      </c>
      <c r="I232" s="18">
        <v>856.92</v>
      </c>
      <c r="J232" s="18"/>
      <c r="K232" s="18">
        <v>3066.39</v>
      </c>
      <c r="L232" s="19">
        <f t="shared" si="4"/>
        <v>275953.67000000004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232223.71</v>
      </c>
      <c r="G233" s="18">
        <v>68944.36</v>
      </c>
      <c r="H233" s="18">
        <v>62045.99</v>
      </c>
      <c r="I233" s="18">
        <v>10871.56</v>
      </c>
      <c r="J233" s="18"/>
      <c r="K233" s="18">
        <v>7533</v>
      </c>
      <c r="L233" s="19">
        <f t="shared" si="4"/>
        <v>381618.62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4799.38</v>
      </c>
      <c r="G234" s="18">
        <v>401.19</v>
      </c>
      <c r="H234" s="18"/>
      <c r="I234" s="18">
        <v>1032.03</v>
      </c>
      <c r="J234" s="18"/>
      <c r="K234" s="18"/>
      <c r="L234" s="19">
        <f t="shared" si="4"/>
        <v>6232.5999999999995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159619.48000000001</v>
      </c>
      <c r="G235" s="18">
        <v>82271.05</v>
      </c>
      <c r="H235" s="18">
        <v>195940.79</v>
      </c>
      <c r="I235" s="18">
        <v>198194.92</v>
      </c>
      <c r="J235" s="18">
        <v>89138.26</v>
      </c>
      <c r="K235" s="18">
        <v>35</v>
      </c>
      <c r="L235" s="19">
        <f t="shared" si="4"/>
        <v>725199.50000000012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331692.3</v>
      </c>
      <c r="I236" s="18"/>
      <c r="J236" s="18"/>
      <c r="K236" s="18"/>
      <c r="L236" s="19">
        <f t="shared" si="4"/>
        <v>331692.3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>
        <v>119478.58</v>
      </c>
      <c r="H237" s="18"/>
      <c r="I237" s="18"/>
      <c r="J237" s="18"/>
      <c r="K237" s="18"/>
      <c r="L237" s="19">
        <f>SUM(F237:K237)</f>
        <v>119478.58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3127372.7199999997</v>
      </c>
      <c r="G239" s="41">
        <f t="shared" si="5"/>
        <v>1261035.6800000002</v>
      </c>
      <c r="H239" s="41">
        <f t="shared" si="5"/>
        <v>1289001.1100000001</v>
      </c>
      <c r="I239" s="41">
        <f t="shared" si="5"/>
        <v>400593.68000000005</v>
      </c>
      <c r="J239" s="41">
        <f t="shared" si="5"/>
        <v>160794.38</v>
      </c>
      <c r="K239" s="41">
        <f t="shared" si="5"/>
        <v>24879.34</v>
      </c>
      <c r="L239" s="41">
        <f t="shared" si="5"/>
        <v>6263676.9099999992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9794354.9600000009</v>
      </c>
      <c r="G249" s="41">
        <f t="shared" si="8"/>
        <v>4108610.2099999995</v>
      </c>
      <c r="H249" s="41">
        <f t="shared" si="8"/>
        <v>2978582.0300000003</v>
      </c>
      <c r="I249" s="41">
        <f t="shared" si="8"/>
        <v>847200.25</v>
      </c>
      <c r="J249" s="41">
        <f t="shared" si="8"/>
        <v>432725.88</v>
      </c>
      <c r="K249" s="41">
        <f t="shared" si="8"/>
        <v>42942.67</v>
      </c>
      <c r="L249" s="41">
        <f t="shared" si="8"/>
        <v>18204416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290000</v>
      </c>
      <c r="L252" s="19">
        <f>SUM(F252:K252)</f>
        <v>290000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30930.28</v>
      </c>
      <c r="L253" s="19">
        <f>SUM(F253:K253)</f>
        <v>30930.28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20000</v>
      </c>
      <c r="L258" s="19">
        <f t="shared" si="9"/>
        <v>20000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340930.28</v>
      </c>
      <c r="L262" s="41">
        <f t="shared" si="9"/>
        <v>340930.28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9794354.9600000009</v>
      </c>
      <c r="G263" s="42">
        <f t="shared" si="11"/>
        <v>4108610.2099999995</v>
      </c>
      <c r="H263" s="42">
        <f t="shared" si="11"/>
        <v>2978582.0300000003</v>
      </c>
      <c r="I263" s="42">
        <f t="shared" si="11"/>
        <v>847200.25</v>
      </c>
      <c r="J263" s="42">
        <f t="shared" si="11"/>
        <v>432725.88</v>
      </c>
      <c r="K263" s="42">
        <f t="shared" si="11"/>
        <v>383872.95</v>
      </c>
      <c r="L263" s="42">
        <f t="shared" si="11"/>
        <v>18545346.280000001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137791.5</v>
      </c>
      <c r="G268" s="18">
        <v>36689.82</v>
      </c>
      <c r="H268" s="18"/>
      <c r="I268" s="18">
        <v>4445.21</v>
      </c>
      <c r="J268" s="18">
        <v>2000.7</v>
      </c>
      <c r="K268" s="18"/>
      <c r="L268" s="19">
        <f>SUM(F268:K268)</f>
        <v>180927.23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975</v>
      </c>
      <c r="G271" s="18">
        <v>147.63</v>
      </c>
      <c r="H271" s="18">
        <v>4707.47</v>
      </c>
      <c r="I271" s="18">
        <v>1646.68</v>
      </c>
      <c r="J271" s="18"/>
      <c r="K271" s="18"/>
      <c r="L271" s="19">
        <f>SUM(F271:K271)</f>
        <v>7476.7800000000007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40741.879999999997</v>
      </c>
      <c r="G273" s="18">
        <v>10135.77</v>
      </c>
      <c r="H273" s="18">
        <v>23152.11</v>
      </c>
      <c r="I273" s="18">
        <v>5467.92</v>
      </c>
      <c r="J273" s="18"/>
      <c r="K273" s="18">
        <v>299</v>
      </c>
      <c r="L273" s="19">
        <f t="shared" ref="L273:L279" si="12">SUM(F273:K273)</f>
        <v>79796.679999999993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17521.97</v>
      </c>
      <c r="G274" s="18">
        <v>2546.25</v>
      </c>
      <c r="H274" s="18">
        <v>48770.06</v>
      </c>
      <c r="I274" s="18">
        <v>10992.82</v>
      </c>
      <c r="J274" s="18">
        <v>6901.13</v>
      </c>
      <c r="K274" s="18">
        <v>2236.83</v>
      </c>
      <c r="L274" s="19">
        <f t="shared" si="12"/>
        <v>88969.060000000012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650</v>
      </c>
      <c r="G275" s="18">
        <v>98.41</v>
      </c>
      <c r="H275" s="18"/>
      <c r="I275" s="18"/>
      <c r="J275" s="18"/>
      <c r="K275" s="18">
        <v>12463.05</v>
      </c>
      <c r="L275" s="19">
        <f t="shared" si="12"/>
        <v>13211.46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571.73</v>
      </c>
      <c r="I279" s="18"/>
      <c r="J279" s="18"/>
      <c r="K279" s="18"/>
      <c r="L279" s="19">
        <f t="shared" si="12"/>
        <v>571.73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197680.35</v>
      </c>
      <c r="G282" s="42">
        <f t="shared" si="13"/>
        <v>49617.880000000005</v>
      </c>
      <c r="H282" s="42">
        <f t="shared" si="13"/>
        <v>77201.37</v>
      </c>
      <c r="I282" s="42">
        <f t="shared" si="13"/>
        <v>22552.63</v>
      </c>
      <c r="J282" s="42">
        <f t="shared" si="13"/>
        <v>8901.83</v>
      </c>
      <c r="K282" s="42">
        <f t="shared" si="13"/>
        <v>14998.88</v>
      </c>
      <c r="L282" s="41">
        <f t="shared" si="13"/>
        <v>370952.94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74195.429999999993</v>
      </c>
      <c r="G306" s="18">
        <v>19756.060000000001</v>
      </c>
      <c r="H306" s="18"/>
      <c r="I306" s="18">
        <v>2393.5700000000002</v>
      </c>
      <c r="J306" s="18">
        <v>1077.3</v>
      </c>
      <c r="K306" s="18"/>
      <c r="L306" s="19">
        <f>SUM(F306:K306)</f>
        <v>97422.36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525</v>
      </c>
      <c r="G309" s="18">
        <v>79.489999999999995</v>
      </c>
      <c r="H309" s="18">
        <v>2534.79</v>
      </c>
      <c r="I309" s="18">
        <v>886.67</v>
      </c>
      <c r="J309" s="18"/>
      <c r="K309" s="18"/>
      <c r="L309" s="19">
        <f>SUM(F309:K309)</f>
        <v>4025.95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21937.93</v>
      </c>
      <c r="G311" s="18">
        <v>5457.72</v>
      </c>
      <c r="H311" s="18">
        <v>12466.52</v>
      </c>
      <c r="I311" s="18">
        <v>2944.26</v>
      </c>
      <c r="J311" s="18"/>
      <c r="K311" s="18">
        <v>161</v>
      </c>
      <c r="L311" s="19">
        <f t="shared" ref="L311:L317" si="16">SUM(F311:K311)</f>
        <v>42967.43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9434.9</v>
      </c>
      <c r="G312" s="18">
        <v>1371.06</v>
      </c>
      <c r="H312" s="18">
        <v>26260.799999999999</v>
      </c>
      <c r="I312" s="18">
        <v>5919.21</v>
      </c>
      <c r="J312" s="18">
        <v>3716</v>
      </c>
      <c r="K312" s="18">
        <v>1204.44</v>
      </c>
      <c r="L312" s="19">
        <f t="shared" si="16"/>
        <v>47906.409999999996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350</v>
      </c>
      <c r="G313" s="18">
        <v>52.99</v>
      </c>
      <c r="H313" s="18"/>
      <c r="I313" s="18"/>
      <c r="J313" s="18"/>
      <c r="K313" s="18">
        <v>6710.87</v>
      </c>
      <c r="L313" s="19">
        <f t="shared" si="16"/>
        <v>7113.86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307.86</v>
      </c>
      <c r="I317" s="18"/>
      <c r="J317" s="18"/>
      <c r="K317" s="18"/>
      <c r="L317" s="19">
        <f t="shared" si="16"/>
        <v>307.86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106443.25999999998</v>
      </c>
      <c r="G320" s="42">
        <f t="shared" si="17"/>
        <v>26717.320000000007</v>
      </c>
      <c r="H320" s="42">
        <f t="shared" si="17"/>
        <v>41569.97</v>
      </c>
      <c r="I320" s="42">
        <f t="shared" si="17"/>
        <v>12143.71</v>
      </c>
      <c r="J320" s="42">
        <f t="shared" si="17"/>
        <v>4793.3</v>
      </c>
      <c r="K320" s="42">
        <f t="shared" si="17"/>
        <v>8076.3099999999995</v>
      </c>
      <c r="L320" s="41">
        <f t="shared" si="17"/>
        <v>199743.86999999997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304123.61</v>
      </c>
      <c r="G330" s="41">
        <f t="shared" si="20"/>
        <v>76335.200000000012</v>
      </c>
      <c r="H330" s="41">
        <f t="shared" si="20"/>
        <v>118771.34</v>
      </c>
      <c r="I330" s="41">
        <f t="shared" si="20"/>
        <v>34696.339999999997</v>
      </c>
      <c r="J330" s="41">
        <f t="shared" si="20"/>
        <v>13695.130000000001</v>
      </c>
      <c r="K330" s="41">
        <f t="shared" si="20"/>
        <v>23075.19</v>
      </c>
      <c r="L330" s="41">
        <f t="shared" si="20"/>
        <v>570696.80999999994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304123.61</v>
      </c>
      <c r="G344" s="41">
        <f>G330</f>
        <v>76335.200000000012</v>
      </c>
      <c r="H344" s="41">
        <f>H330</f>
        <v>118771.34</v>
      </c>
      <c r="I344" s="41">
        <f>I330</f>
        <v>34696.339999999997</v>
      </c>
      <c r="J344" s="41">
        <f>J330</f>
        <v>13695.130000000001</v>
      </c>
      <c r="K344" s="47">
        <f>K330+K343</f>
        <v>23075.19</v>
      </c>
      <c r="L344" s="41">
        <f>L330+L343</f>
        <v>570696.80999999994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2138.2800000000002</v>
      </c>
      <c r="G350" s="18">
        <f>163.58+50.93</f>
        <v>214.51000000000002</v>
      </c>
      <c r="H350" s="18">
        <f>417441.63*0.65</f>
        <v>271337.05950000003</v>
      </c>
      <c r="I350" s="18">
        <f>623.56*0.65</f>
        <v>405.31399999999996</v>
      </c>
      <c r="J350" s="18">
        <f>1884*0.65</f>
        <v>1224.6000000000001</v>
      </c>
      <c r="K350" s="18">
        <f>533.11*0.65</f>
        <v>346.5215</v>
      </c>
      <c r="L350" s="13">
        <f>SUM(F350:K350)</f>
        <v>275666.28499999997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>
        <f>417441.63-H350</f>
        <v>146104.57049999997</v>
      </c>
      <c r="I352" s="18">
        <f>623.56-I350</f>
        <v>218.24599999999998</v>
      </c>
      <c r="J352" s="18">
        <f>1884-J350</f>
        <v>659.39999999999986</v>
      </c>
      <c r="K352" s="18">
        <f>533.11-K350</f>
        <v>186.58850000000001</v>
      </c>
      <c r="L352" s="19">
        <f>SUM(F352:K352)</f>
        <v>147168.80499999999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2138.2800000000002</v>
      </c>
      <c r="G354" s="47">
        <f t="shared" si="22"/>
        <v>214.51000000000002</v>
      </c>
      <c r="H354" s="47">
        <f t="shared" si="22"/>
        <v>417441.63</v>
      </c>
      <c r="I354" s="47">
        <f t="shared" si="22"/>
        <v>623.55999999999995</v>
      </c>
      <c r="J354" s="47">
        <f t="shared" si="22"/>
        <v>1884</v>
      </c>
      <c r="K354" s="47">
        <f t="shared" si="22"/>
        <v>533.11</v>
      </c>
      <c r="L354" s="47">
        <f t="shared" si="22"/>
        <v>422835.08999999997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623.56*0.65</f>
        <v>405.31399999999996</v>
      </c>
      <c r="G360" s="63"/>
      <c r="H360" s="63">
        <f>623.56-F360</f>
        <v>218.24599999999998</v>
      </c>
      <c r="I360" s="56">
        <f>SUM(F360:H360)</f>
        <v>623.55999999999995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405.31399999999996</v>
      </c>
      <c r="G361" s="47">
        <f>SUM(G359:G360)</f>
        <v>0</v>
      </c>
      <c r="H361" s="47">
        <f>SUM(H359:H360)</f>
        <v>218.24599999999998</v>
      </c>
      <c r="I361" s="47">
        <f>SUM(I359:I360)</f>
        <v>623.55999999999995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>
        <v>185.47</v>
      </c>
      <c r="I387" s="18"/>
      <c r="J387" s="24" t="s">
        <v>312</v>
      </c>
      <c r="K387" s="24" t="s">
        <v>312</v>
      </c>
      <c r="L387" s="56">
        <f t="shared" ref="L387:L392" si="26">SUM(F387:K387)</f>
        <v>185.47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f>1496.12+30.36</f>
        <v>1526.4799999999998</v>
      </c>
      <c r="I388" s="18"/>
      <c r="J388" s="24" t="s">
        <v>312</v>
      </c>
      <c r="K388" s="24" t="s">
        <v>312</v>
      </c>
      <c r="L388" s="56">
        <f t="shared" si="26"/>
        <v>1526.4799999999998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20000</v>
      </c>
      <c r="H389" s="18">
        <v>683.78</v>
      </c>
      <c r="I389" s="18"/>
      <c r="J389" s="24" t="s">
        <v>312</v>
      </c>
      <c r="K389" s="24" t="s">
        <v>312</v>
      </c>
      <c r="L389" s="56">
        <f t="shared" si="26"/>
        <v>20683.78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20000</v>
      </c>
      <c r="H393" s="47">
        <f>SUM(H387:H392)</f>
        <v>2395.7299999999996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22395.73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20000</v>
      </c>
      <c r="H400" s="47">
        <f>H385+H393+H399</f>
        <v>2395.7299999999996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22395.73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f>70746.7+129972.48+284289.5+5769.95</f>
        <v>490778.63</v>
      </c>
      <c r="G431" s="18"/>
      <c r="H431" s="18"/>
      <c r="I431" s="56">
        <f t="shared" ref="I431:I437" si="33">SUM(F431:H431)</f>
        <v>490778.63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>
        <f>25000</f>
        <v>25000</v>
      </c>
      <c r="G433" s="18"/>
      <c r="H433" s="18"/>
      <c r="I433" s="56">
        <f t="shared" si="33"/>
        <v>25000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20000</v>
      </c>
      <c r="G434" s="18"/>
      <c r="H434" s="18"/>
      <c r="I434" s="56">
        <f t="shared" si="33"/>
        <v>20000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535778.63</v>
      </c>
      <c r="G438" s="13">
        <f>SUM(G431:G437)</f>
        <v>0</v>
      </c>
      <c r="H438" s="13">
        <f>SUM(H431:H437)</f>
        <v>0</v>
      </c>
      <c r="I438" s="13">
        <f>SUM(I431:I437)</f>
        <v>535778.63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>
        <v>25000</v>
      </c>
      <c r="G440" s="18"/>
      <c r="H440" s="18"/>
      <c r="I440" s="56">
        <f>SUM(F440:H440)</f>
        <v>25000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25000</v>
      </c>
      <c r="G444" s="72">
        <f>SUM(G440:G443)</f>
        <v>0</v>
      </c>
      <c r="H444" s="72">
        <f>SUM(H440:H443)</f>
        <v>0</v>
      </c>
      <c r="I444" s="72">
        <f>SUM(I440:I443)</f>
        <v>25000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f>70746.7+149972.48+284289.5+5769.95</f>
        <v>510778.63</v>
      </c>
      <c r="G449" s="18"/>
      <c r="H449" s="18"/>
      <c r="I449" s="56">
        <f>SUM(F449:H449)</f>
        <v>510778.63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510778.63</v>
      </c>
      <c r="G450" s="83">
        <f>SUM(G446:G449)</f>
        <v>0</v>
      </c>
      <c r="H450" s="83">
        <f>SUM(H446:H449)</f>
        <v>0</v>
      </c>
      <c r="I450" s="83">
        <f>SUM(I446:I449)</f>
        <v>510778.63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535778.63</v>
      </c>
      <c r="G451" s="42">
        <f>G444+G450</f>
        <v>0</v>
      </c>
      <c r="H451" s="42">
        <f>H444+H450</f>
        <v>0</v>
      </c>
      <c r="I451" s="42">
        <f>I444+I450</f>
        <v>535778.63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655188.4</v>
      </c>
      <c r="G455" s="18">
        <v>34118.35</v>
      </c>
      <c r="H455" s="18">
        <v>3392.38</v>
      </c>
      <c r="I455" s="18">
        <v>3230.17</v>
      </c>
      <c r="J455" s="18">
        <v>488382.9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18194618.640000001</v>
      </c>
      <c r="G458" s="18">
        <v>423311.96</v>
      </c>
      <c r="H458" s="18">
        <v>575299.66</v>
      </c>
      <c r="I458" s="18">
        <v>0.94</v>
      </c>
      <c r="J458" s="18">
        <f>20000+185.47+683.78+1496.12+30.36</f>
        <v>22395.73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18194618.640000001</v>
      </c>
      <c r="G460" s="53">
        <f>SUM(G458:G459)</f>
        <v>423311.96</v>
      </c>
      <c r="H460" s="53">
        <f>SUM(H458:H459)</f>
        <v>575299.66</v>
      </c>
      <c r="I460" s="53">
        <f>SUM(I458:I459)</f>
        <v>0.94</v>
      </c>
      <c r="J460" s="53">
        <f>SUM(J458:J459)</f>
        <v>22395.73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18545346.280000001</v>
      </c>
      <c r="G462" s="18">
        <v>422835.09</v>
      </c>
      <c r="H462" s="18">
        <f>408681.48+128717.89+33297.44</f>
        <v>570696.81000000006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18545346.280000001</v>
      </c>
      <c r="G464" s="53">
        <f>SUM(G462:G463)</f>
        <v>422835.09</v>
      </c>
      <c r="H464" s="53">
        <f>SUM(H462:H463)</f>
        <v>570696.81000000006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304460.75999999791</v>
      </c>
      <c r="G466" s="53">
        <f>(G455+G460)- G464</f>
        <v>34595.219999999972</v>
      </c>
      <c r="H466" s="53">
        <f>(H455+H460)- H464</f>
        <v>7995.2299999999814</v>
      </c>
      <c r="I466" s="53">
        <f>(I455+I460)- I464</f>
        <v>3231.11</v>
      </c>
      <c r="J466" s="53">
        <f>(J455+J460)- J464</f>
        <v>510778.63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1450000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3.91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870000</v>
      </c>
      <c r="G485" s="18"/>
      <c r="H485" s="18"/>
      <c r="I485" s="18"/>
      <c r="J485" s="18"/>
      <c r="K485" s="53">
        <f>SUM(F485:J485)</f>
        <v>870000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290000</v>
      </c>
      <c r="G487" s="18"/>
      <c r="H487" s="18"/>
      <c r="I487" s="18"/>
      <c r="J487" s="18"/>
      <c r="K487" s="53">
        <f t="shared" si="34"/>
        <v>290000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580000</v>
      </c>
      <c r="G488" s="205"/>
      <c r="H488" s="205"/>
      <c r="I488" s="205"/>
      <c r="J488" s="205"/>
      <c r="K488" s="206">
        <f t="shared" si="34"/>
        <v>580000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580000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580000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290000</v>
      </c>
      <c r="G491" s="205"/>
      <c r="H491" s="205"/>
      <c r="I491" s="205"/>
      <c r="J491" s="205"/>
      <c r="K491" s="206">
        <f t="shared" si="34"/>
        <v>290000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11339+8504.25</f>
        <v>19843.25</v>
      </c>
      <c r="G492" s="18"/>
      <c r="H492" s="18"/>
      <c r="I492" s="18"/>
      <c r="J492" s="18"/>
      <c r="K492" s="53">
        <f t="shared" si="34"/>
        <v>19843.25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309843.25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309843.25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1552445.8</v>
      </c>
      <c r="G511" s="18">
        <v>655107.07999999996</v>
      </c>
      <c r="H511" s="18">
        <v>34982.17</v>
      </c>
      <c r="I511" s="18">
        <v>5602.23</v>
      </c>
      <c r="J511" s="18">
        <v>65</v>
      </c>
      <c r="K511" s="18"/>
      <c r="L511" s="88">
        <f>SUM(F511:K511)</f>
        <v>2248202.2799999998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345897.99</v>
      </c>
      <c r="G513" s="18">
        <v>119746.45</v>
      </c>
      <c r="H513" s="18">
        <v>185822.16</v>
      </c>
      <c r="I513" s="18">
        <v>2335.83</v>
      </c>
      <c r="J513" s="18">
        <v>35</v>
      </c>
      <c r="K513" s="18"/>
      <c r="L513" s="88">
        <f>SUM(F513:K513)</f>
        <v>653837.42999999993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1898343.79</v>
      </c>
      <c r="G514" s="108">
        <f t="shared" ref="G514:L514" si="35">SUM(G511:G513)</f>
        <v>774853.52999999991</v>
      </c>
      <c r="H514" s="108">
        <f t="shared" si="35"/>
        <v>220804.33000000002</v>
      </c>
      <c r="I514" s="108">
        <f t="shared" si="35"/>
        <v>7938.0599999999995</v>
      </c>
      <c r="J514" s="108">
        <f t="shared" si="35"/>
        <v>100</v>
      </c>
      <c r="K514" s="108">
        <f t="shared" si="35"/>
        <v>0</v>
      </c>
      <c r="L514" s="89">
        <f t="shared" si="35"/>
        <v>2902039.71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329054.06</v>
      </c>
      <c r="G516" s="18">
        <v>141266.9</v>
      </c>
      <c r="H516" s="18">
        <v>3675.79</v>
      </c>
      <c r="I516" s="18">
        <v>4505.8500000000004</v>
      </c>
      <c r="J516" s="18">
        <v>402.92</v>
      </c>
      <c r="K516" s="18">
        <v>60.5</v>
      </c>
      <c r="L516" s="88">
        <f>SUM(F516:K516)</f>
        <v>478966.0199999999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168901.04</v>
      </c>
      <c r="G518" s="18">
        <v>80836.25</v>
      </c>
      <c r="H518" s="18">
        <v>29499.51</v>
      </c>
      <c r="I518" s="18">
        <v>4082.55</v>
      </c>
      <c r="J518" s="18">
        <v>216.95</v>
      </c>
      <c r="K518" s="18">
        <v>3.5</v>
      </c>
      <c r="L518" s="88">
        <f>SUM(F518:K518)</f>
        <v>283539.8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497955.1</v>
      </c>
      <c r="G519" s="89">
        <f t="shared" ref="G519:L519" si="36">SUM(G516:G518)</f>
        <v>222103.15</v>
      </c>
      <c r="H519" s="89">
        <f t="shared" si="36"/>
        <v>33175.299999999996</v>
      </c>
      <c r="I519" s="89">
        <f t="shared" si="36"/>
        <v>8588.4000000000015</v>
      </c>
      <c r="J519" s="89">
        <f t="shared" si="36"/>
        <v>619.87</v>
      </c>
      <c r="K519" s="89">
        <f t="shared" si="36"/>
        <v>64</v>
      </c>
      <c r="L519" s="89">
        <f t="shared" si="36"/>
        <v>762505.81999999983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76523.539999999994</v>
      </c>
      <c r="I521" s="18"/>
      <c r="J521" s="18"/>
      <c r="K521" s="18"/>
      <c r="L521" s="88">
        <f>SUM(F521:K521)</f>
        <v>76523.539999999994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41204.99</v>
      </c>
      <c r="I523" s="18"/>
      <c r="J523" s="18"/>
      <c r="K523" s="18"/>
      <c r="L523" s="88">
        <f>SUM(F523:K523)</f>
        <v>41204.99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117728.53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117728.53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93.28</v>
      </c>
      <c r="I526" s="18"/>
      <c r="J526" s="18"/>
      <c r="K526" s="18"/>
      <c r="L526" s="88">
        <f>SUM(F526:K526)</f>
        <v>93.28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50.23</v>
      </c>
      <c r="I528" s="18"/>
      <c r="J528" s="18"/>
      <c r="K528" s="18"/>
      <c r="L528" s="88">
        <f>SUM(F528:K528)</f>
        <v>50.23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143.51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143.51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50911.93</v>
      </c>
      <c r="I531" s="18"/>
      <c r="J531" s="18"/>
      <c r="K531" s="18"/>
      <c r="L531" s="88">
        <f>SUM(F531:K531)</f>
        <v>50911.93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28660.01</v>
      </c>
      <c r="I533" s="18"/>
      <c r="J533" s="18"/>
      <c r="K533" s="18"/>
      <c r="L533" s="88">
        <f>SUM(F533:K533)</f>
        <v>28660.01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79571.94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79571.94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2396298.89</v>
      </c>
      <c r="G535" s="89">
        <f t="shared" ref="G535:L535" si="40">G514+G519+G524+G529+G534</f>
        <v>996956.67999999993</v>
      </c>
      <c r="H535" s="89">
        <f t="shared" si="40"/>
        <v>451423.61000000004</v>
      </c>
      <c r="I535" s="89">
        <f t="shared" si="40"/>
        <v>16526.46</v>
      </c>
      <c r="J535" s="89">
        <f t="shared" si="40"/>
        <v>719.87</v>
      </c>
      <c r="K535" s="89">
        <f t="shared" si="40"/>
        <v>64</v>
      </c>
      <c r="L535" s="89">
        <f t="shared" si="40"/>
        <v>3861989.5099999993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2248202.2799999998</v>
      </c>
      <c r="G539" s="87">
        <f>L516</f>
        <v>478966.0199999999</v>
      </c>
      <c r="H539" s="87">
        <f>L521</f>
        <v>76523.539999999994</v>
      </c>
      <c r="I539" s="87">
        <f>L526</f>
        <v>93.28</v>
      </c>
      <c r="J539" s="87">
        <f>L531</f>
        <v>50911.93</v>
      </c>
      <c r="K539" s="87">
        <f>SUM(F539:J539)</f>
        <v>2854697.05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653837.42999999993</v>
      </c>
      <c r="G541" s="87">
        <f>L518</f>
        <v>283539.8</v>
      </c>
      <c r="H541" s="87">
        <f>L523</f>
        <v>41204.99</v>
      </c>
      <c r="I541" s="87">
        <f>L528</f>
        <v>50.23</v>
      </c>
      <c r="J541" s="87">
        <f>L533</f>
        <v>28660.01</v>
      </c>
      <c r="K541" s="87">
        <f>SUM(F541:J541)</f>
        <v>1007292.46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2902039.71</v>
      </c>
      <c r="G542" s="89">
        <f t="shared" si="41"/>
        <v>762505.81999999983</v>
      </c>
      <c r="H542" s="89">
        <f t="shared" si="41"/>
        <v>117728.53</v>
      </c>
      <c r="I542" s="89">
        <f t="shared" si="41"/>
        <v>143.51</v>
      </c>
      <c r="J542" s="89">
        <f t="shared" si="41"/>
        <v>79571.94</v>
      </c>
      <c r="K542" s="89">
        <f t="shared" si="41"/>
        <v>3861989.51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f>41151.75*0.65</f>
        <v>26748.637500000001</v>
      </c>
      <c r="G552" s="18">
        <f>(4360.15+331.61+23.2-160+3094.94+3082.39+31.14+66.09)*0.65</f>
        <v>7039.1879999999992</v>
      </c>
      <c r="H552" s="4"/>
      <c r="I552" s="18">
        <f>(28.54+48.6)*0.65</f>
        <v>50.141000000000005</v>
      </c>
      <c r="J552" s="18"/>
      <c r="K552" s="18"/>
      <c r="L552" s="88">
        <f>SUM(F552:K552)</f>
        <v>33837.966500000002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f>41151.75-F552</f>
        <v>14403.112499999999</v>
      </c>
      <c r="G554" s="18">
        <f>(4360.15+331.61+23.2-160+3094.94+3082.39+31.14+66.09)-G552</f>
        <v>3790.3319999999994</v>
      </c>
      <c r="H554" s="4"/>
      <c r="I554" s="18">
        <f>(28.54+48.6)-I552</f>
        <v>26.998999999999995</v>
      </c>
      <c r="J554" s="18"/>
      <c r="K554" s="18"/>
      <c r="L554" s="88">
        <f>SUM(F554:K554)</f>
        <v>18220.443499999998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41151.75</v>
      </c>
      <c r="G555" s="89">
        <f t="shared" si="43"/>
        <v>10829.519999999999</v>
      </c>
      <c r="H555" s="89">
        <f t="shared" si="43"/>
        <v>0</v>
      </c>
      <c r="I555" s="89">
        <f>SUM(I552:I554)</f>
        <v>77.14</v>
      </c>
      <c r="J555" s="89">
        <f t="shared" si="43"/>
        <v>0</v>
      </c>
      <c r="K555" s="89">
        <f t="shared" si="43"/>
        <v>0</v>
      </c>
      <c r="L555" s="89">
        <f t="shared" si="43"/>
        <v>52058.41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41151.75</v>
      </c>
      <c r="G561" s="89">
        <f t="shared" ref="G561:L561" si="45">G550+G555+G560</f>
        <v>10829.519999999999</v>
      </c>
      <c r="H561" s="89">
        <f t="shared" si="45"/>
        <v>0</v>
      </c>
      <c r="I561" s="89">
        <f t="shared" si="45"/>
        <v>77.14</v>
      </c>
      <c r="J561" s="89">
        <f t="shared" si="45"/>
        <v>0</v>
      </c>
      <c r="K561" s="89">
        <f t="shared" si="45"/>
        <v>0</v>
      </c>
      <c r="L561" s="89">
        <f t="shared" si="45"/>
        <v>52058.41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23695.54</v>
      </c>
      <c r="G572" s="18"/>
      <c r="H572" s="18">
        <v>179761.2</v>
      </c>
      <c r="I572" s="87">
        <f t="shared" si="46"/>
        <v>203456.74000000002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56798.58</v>
      </c>
      <c r="I574" s="87">
        <f t="shared" si="46"/>
        <v>56798.58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415199.2</v>
      </c>
      <c r="I581" s="18"/>
      <c r="J581" s="18">
        <v>223568.8</v>
      </c>
      <c r="K581" s="104">
        <f t="shared" ref="K581:K587" si="47">SUM(H581:J581)</f>
        <v>638768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22543.93+28368</f>
        <v>50911.93</v>
      </c>
      <c r="I582" s="18"/>
      <c r="J582" s="18">
        <v>28660.01</v>
      </c>
      <c r="K582" s="104">
        <f t="shared" si="47"/>
        <v>79571.94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10113.5</v>
      </c>
      <c r="K583" s="104">
        <f t="shared" si="47"/>
        <v>10113.5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>
        <v>62207.85</v>
      </c>
      <c r="K584" s="104">
        <f t="shared" si="47"/>
        <v>62207.85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4088.13+21279.83+3840.56</f>
        <v>29208.520000000004</v>
      </c>
      <c r="I585" s="18"/>
      <c r="J585" s="18">
        <v>6769.16</v>
      </c>
      <c r="K585" s="104">
        <f t="shared" si="47"/>
        <v>35977.680000000008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f>3807.86+(1065.65*0.65)</f>
        <v>4500.5325000000003</v>
      </c>
      <c r="I587" s="18"/>
      <c r="J587" s="18">
        <f>1065.65-(1065.65*0.65)</f>
        <v>372.97749999999996</v>
      </c>
      <c r="K587" s="104">
        <f t="shared" si="47"/>
        <v>4873.51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499820.1825</v>
      </c>
      <c r="I588" s="108">
        <f>SUM(I581:I587)</f>
        <v>0</v>
      </c>
      <c r="J588" s="108">
        <f>SUM(J581:J587)</f>
        <v>331692.29749999993</v>
      </c>
      <c r="K588" s="108">
        <f>SUM(K581:K587)</f>
        <v>831512.48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6788.67+4551.52+(414604.84*0.65)</f>
        <v>280833.33600000001</v>
      </c>
      <c r="I594" s="18"/>
      <c r="J594" s="18">
        <f>20475.98+(414604.84-(414604.84*0.65))</f>
        <v>165587.67400000003</v>
      </c>
      <c r="K594" s="104">
        <f>SUM(H594:J594)</f>
        <v>446421.01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280833.33600000001</v>
      </c>
      <c r="I595" s="108">
        <f>SUM(I592:I594)</f>
        <v>0</v>
      </c>
      <c r="J595" s="108">
        <f>SUM(J592:J594)</f>
        <v>165587.67400000003</v>
      </c>
      <c r="K595" s="108">
        <f>SUM(K592:K594)</f>
        <v>446421.01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19100+3788</f>
        <v>22888</v>
      </c>
      <c r="G601" s="18">
        <f>1750.96+346.96+1430.6+61.78</f>
        <v>3590.3</v>
      </c>
      <c r="H601" s="18">
        <v>3807.86</v>
      </c>
      <c r="I601" s="18">
        <v>443.54</v>
      </c>
      <c r="J601" s="18"/>
      <c r="K601" s="18"/>
      <c r="L601" s="88">
        <f>SUM(F601:K601)</f>
        <v>30729.7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22888</v>
      </c>
      <c r="G604" s="108">
        <f t="shared" si="48"/>
        <v>3590.3</v>
      </c>
      <c r="H604" s="108">
        <f t="shared" si="48"/>
        <v>3807.86</v>
      </c>
      <c r="I604" s="108">
        <f t="shared" si="48"/>
        <v>443.54</v>
      </c>
      <c r="J604" s="108">
        <f t="shared" si="48"/>
        <v>0</v>
      </c>
      <c r="K604" s="108">
        <f t="shared" si="48"/>
        <v>0</v>
      </c>
      <c r="L604" s="89">
        <f t="shared" si="48"/>
        <v>30729.7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2458976.0199999996</v>
      </c>
      <c r="H607" s="109">
        <f>SUM(F44)</f>
        <v>2458976.0199999996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1055870.79</v>
      </c>
      <c r="H608" s="109">
        <f>SUM(G44)</f>
        <v>1055870.79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1088735.58</v>
      </c>
      <c r="H609" s="109">
        <f>SUM(H44)</f>
        <v>1088735.58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3253.4900000000002</v>
      </c>
      <c r="H610" s="109">
        <f>SUM(I44)</f>
        <v>3253.4900000000002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535778.63</v>
      </c>
      <c r="H611" s="109">
        <f>SUM(J44)</f>
        <v>535778.63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304460.76</v>
      </c>
      <c r="H612" s="109">
        <f>F466</f>
        <v>304460.75999999791</v>
      </c>
      <c r="I612" s="121" t="s">
        <v>106</v>
      </c>
      <c r="J612" s="109">
        <f t="shared" ref="J612:J645" si="49">G612-H612</f>
        <v>2.0954757928848267E-9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34595.22</v>
      </c>
      <c r="H613" s="109">
        <f>G466</f>
        <v>34595.219999999972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7995.23</v>
      </c>
      <c r="H614" s="109">
        <f>H466</f>
        <v>7995.2299999999814</v>
      </c>
      <c r="I614" s="121" t="s">
        <v>110</v>
      </c>
      <c r="J614" s="109">
        <f t="shared" si="49"/>
        <v>1.8189894035458565E-11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3231.11</v>
      </c>
      <c r="H615" s="109">
        <f>I466</f>
        <v>3231.11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510778.63</v>
      </c>
      <c r="H616" s="109">
        <f>J466</f>
        <v>510778.63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18194618.639999997</v>
      </c>
      <c r="H617" s="104">
        <f>SUM(F458)</f>
        <v>18194618.640000001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423311.95999999996</v>
      </c>
      <c r="H618" s="104">
        <f>SUM(G458)</f>
        <v>423311.96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575299.66</v>
      </c>
      <c r="H619" s="104">
        <f>SUM(H458)</f>
        <v>575299.66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0.94</v>
      </c>
      <c r="H620" s="104">
        <f>SUM(I458)</f>
        <v>0.94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22395.73</v>
      </c>
      <c r="H621" s="104">
        <f>SUM(J458)</f>
        <v>22395.73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18545346.280000001</v>
      </c>
      <c r="H622" s="104">
        <f>SUM(F462)</f>
        <v>18545346.280000001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570696.80999999994</v>
      </c>
      <c r="H623" s="104">
        <f>SUM(H462)</f>
        <v>570696.81000000006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623.55999999999995</v>
      </c>
      <c r="H624" s="104">
        <f>I361</f>
        <v>623.55999999999995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422835.08999999997</v>
      </c>
      <c r="H625" s="104">
        <f>SUM(G462)</f>
        <v>422835.09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22395.73</v>
      </c>
      <c r="H627" s="164">
        <f>SUM(J458)</f>
        <v>22395.73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535778.63</v>
      </c>
      <c r="H629" s="104">
        <f>SUM(F451)</f>
        <v>535778.63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535778.63</v>
      </c>
      <c r="H632" s="104">
        <f>SUM(I451)</f>
        <v>535778.63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2395.73</v>
      </c>
      <c r="H634" s="104">
        <f>H400</f>
        <v>2395.7299999999996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20000</v>
      </c>
      <c r="H635" s="104">
        <f>G400</f>
        <v>20000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22395.73</v>
      </c>
      <c r="H636" s="104">
        <f>L400</f>
        <v>22395.73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831512.48</v>
      </c>
      <c r="H637" s="104">
        <f>L200+L218+L236</f>
        <v>831512.48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446421.01</v>
      </c>
      <c r="H638" s="104">
        <f>(J249+J330)-(J247+J328)</f>
        <v>446421.01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499820.18</v>
      </c>
      <c r="H639" s="104">
        <f>H588</f>
        <v>499820.1825</v>
      </c>
      <c r="I639" s="140" t="s">
        <v>412</v>
      </c>
      <c r="J639" s="109">
        <f t="shared" si="49"/>
        <v>-2.5000000023283064E-3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331692.3</v>
      </c>
      <c r="H641" s="104">
        <f>J588</f>
        <v>331692.29749999993</v>
      </c>
      <c r="I641" s="140" t="s">
        <v>414</v>
      </c>
      <c r="J641" s="109">
        <f t="shared" si="49"/>
        <v>2.5000000605359674E-3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20000</v>
      </c>
      <c r="H645" s="104">
        <f>K258+K339</f>
        <v>20000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12587358.315000001</v>
      </c>
      <c r="G650" s="19">
        <f>(L221+L301+L351)</f>
        <v>0</v>
      </c>
      <c r="H650" s="19">
        <f>(L239+L320+L352)</f>
        <v>6610589.584999999</v>
      </c>
      <c r="I650" s="19">
        <f>SUM(F650:H650)</f>
        <v>19197947.899999999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175392.95024884585</v>
      </c>
      <c r="G651" s="19">
        <f>(L351/IF(SUM(L350:L352)=0,1,SUM(L350:L352))*(SUM(G89:G102)))</f>
        <v>0</v>
      </c>
      <c r="H651" s="19">
        <f>(L352/IF(SUM(L350:L352)=0,1,SUM(L350:L352))*(SUM(G89:G102)))</f>
        <v>93636.299751154176</v>
      </c>
      <c r="I651" s="19">
        <f>SUM(F651:H651)</f>
        <v>269029.25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500391.91</v>
      </c>
      <c r="G652" s="19">
        <f>(L218+L298)-(J218+J298)</f>
        <v>0</v>
      </c>
      <c r="H652" s="19">
        <f>(L236+L317)-(J236+J317)</f>
        <v>332000.15999999997</v>
      </c>
      <c r="I652" s="19">
        <f>SUM(F652:H652)</f>
        <v>832392.07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335258.576</v>
      </c>
      <c r="G653" s="200">
        <f>SUM(G565:G577)+SUM(I592:I594)+L602</f>
        <v>0</v>
      </c>
      <c r="H653" s="200">
        <f>SUM(H565:H577)+SUM(J592:J594)+L603</f>
        <v>402147.45400000003</v>
      </c>
      <c r="I653" s="19">
        <f>SUM(F653:H653)</f>
        <v>737406.03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11576314.878751155</v>
      </c>
      <c r="G654" s="19">
        <f>G650-SUM(G651:G653)</f>
        <v>0</v>
      </c>
      <c r="H654" s="19">
        <f>H650-SUM(H651:H653)</f>
        <v>5782805.6712488448</v>
      </c>
      <c r="I654" s="19">
        <f>I650-SUM(I651:I653)</f>
        <v>17359120.549999997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f>315.65+326.37+71.54</f>
        <v>713.56</v>
      </c>
      <c r="G655" s="249"/>
      <c r="H655" s="249">
        <v>383.36</v>
      </c>
      <c r="I655" s="19">
        <f>SUM(F655:H655)</f>
        <v>1096.92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16223.32</v>
      </c>
      <c r="G657" s="19" t="e">
        <f>ROUND(G654/G655,2)</f>
        <v>#DIV/0!</v>
      </c>
      <c r="H657" s="19">
        <f>ROUND(H654/H655,2)</f>
        <v>15084.53</v>
      </c>
      <c r="I657" s="19">
        <f>ROUND(I654/I655,2)</f>
        <v>15825.33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-16.72</v>
      </c>
      <c r="I660" s="19">
        <f>SUM(F660:H660)</f>
        <v>-16.72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16223.32</v>
      </c>
      <c r="G662" s="19" t="e">
        <f>ROUND((G654+G659)/(G655+G660),2)</f>
        <v>#DIV/0!</v>
      </c>
      <c r="H662" s="19">
        <f>ROUND((H654+H659)/(H655+H660),2)</f>
        <v>15772.44</v>
      </c>
      <c r="I662" s="19">
        <f>ROUND((I654+I659)/(I655+I660),2)</f>
        <v>16070.28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F5E3-A09D-4036-97E9-6CBE26A10788}">
  <sheetPr>
    <tabColor indexed="20"/>
  </sheetPr>
  <dimension ref="A1:C52"/>
  <sheetViews>
    <sheetView topLeftCell="A7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Inter-Lakes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5298235.1199999992</v>
      </c>
      <c r="C9" s="230">
        <f>'DOE25'!G189+'DOE25'!G207+'DOE25'!G225+'DOE25'!G268+'DOE25'!G287+'DOE25'!G306</f>
        <v>1953941.86</v>
      </c>
    </row>
    <row r="10" spans="1:3" x14ac:dyDescent="0.2">
      <c r="A10" t="s">
        <v>813</v>
      </c>
      <c r="B10" s="241">
        <v>4890514.58</v>
      </c>
      <c r="C10" s="241">
        <v>1830067.97</v>
      </c>
    </row>
    <row r="11" spans="1:3" x14ac:dyDescent="0.2">
      <c r="A11" t="s">
        <v>814</v>
      </c>
      <c r="B11" s="241">
        <v>218389.19</v>
      </c>
      <c r="C11" s="241">
        <v>104474.19</v>
      </c>
    </row>
    <row r="12" spans="1:3" x14ac:dyDescent="0.2">
      <c r="A12" t="s">
        <v>815</v>
      </c>
      <c r="B12" s="241">
        <f>124050.99+42302.09+22978.27</f>
        <v>189331.35</v>
      </c>
      <c r="C12" s="241">
        <v>19399.7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5298235.12</v>
      </c>
      <c r="C13" s="232">
        <f>SUM(C10:C12)</f>
        <v>1953941.8599999999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1898343.79</v>
      </c>
      <c r="C18" s="230">
        <f>'DOE25'!G190+'DOE25'!G208+'DOE25'!G226+'DOE25'!G269+'DOE25'!G288+'DOE25'!G307</f>
        <v>774853.52999999991</v>
      </c>
    </row>
    <row r="19" spans="1:3" x14ac:dyDescent="0.2">
      <c r="A19" t="s">
        <v>813</v>
      </c>
      <c r="B19" s="241">
        <v>834352.55</v>
      </c>
      <c r="C19" s="241">
        <v>341472.6</v>
      </c>
    </row>
    <row r="20" spans="1:3" x14ac:dyDescent="0.2">
      <c r="A20" t="s">
        <v>814</v>
      </c>
      <c r="B20" s="241">
        <v>1058903.74</v>
      </c>
      <c r="C20" s="241">
        <v>432961.21</v>
      </c>
    </row>
    <row r="21" spans="1:3" x14ac:dyDescent="0.2">
      <c r="A21" t="s">
        <v>815</v>
      </c>
      <c r="B21" s="241">
        <v>5087.5</v>
      </c>
      <c r="C21" s="241">
        <v>419.72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1898343.79</v>
      </c>
      <c r="C22" s="232">
        <f>SUM(C19:C21)</f>
        <v>774853.53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220218</v>
      </c>
      <c r="C36" s="236">
        <f>'DOE25'!G192+'DOE25'!G210+'DOE25'!G228+'DOE25'!G271+'DOE25'!G290+'DOE25'!G309</f>
        <v>27063.210000000003</v>
      </c>
    </row>
    <row r="37" spans="1:3" x14ac:dyDescent="0.2">
      <c r="A37" t="s">
        <v>813</v>
      </c>
      <c r="B37" s="241">
        <v>19100</v>
      </c>
      <c r="C37" s="241">
        <v>3026.34</v>
      </c>
    </row>
    <row r="38" spans="1:3" x14ac:dyDescent="0.2">
      <c r="A38" t="s">
        <v>814</v>
      </c>
      <c r="B38" s="241">
        <v>3788</v>
      </c>
      <c r="C38" s="241">
        <v>659.49</v>
      </c>
    </row>
    <row r="39" spans="1:3" x14ac:dyDescent="0.2">
      <c r="A39" t="s">
        <v>815</v>
      </c>
      <c r="B39" s="241">
        <v>197330</v>
      </c>
      <c r="C39" s="241">
        <v>23377.38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220218</v>
      </c>
      <c r="C40" s="232">
        <f>SUM(C37:C39)</f>
        <v>27063.21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BB7B0-E4FB-4E39-85EB-BEF32532E8DB}">
  <sheetPr>
    <tabColor indexed="11"/>
  </sheetPr>
  <dimension ref="A1:I51"/>
  <sheetViews>
    <sheetView workbookViewId="0">
      <pane ySplit="4" topLeftCell="A5" activePane="bottomLeft" state="frozen"/>
      <selection pane="bottomLeft" activeCell="O28" sqref="O2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Inter-Lakes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10617475.060000001</v>
      </c>
      <c r="D5" s="20">
        <f>SUM('DOE25'!L189:L192)+SUM('DOE25'!L207:L210)+SUM('DOE25'!L225:L228)-F5-G5</f>
        <v>10572342.23</v>
      </c>
      <c r="E5" s="244"/>
      <c r="F5" s="256">
        <f>SUM('DOE25'!J189:J192)+SUM('DOE25'!J207:J210)+SUM('DOE25'!J225:J228)</f>
        <v>24245.329999999998</v>
      </c>
      <c r="G5" s="53">
        <f>SUM('DOE25'!K189:K192)+SUM('DOE25'!K207:K210)+SUM('DOE25'!K225:K228)</f>
        <v>20887.5</v>
      </c>
      <c r="H5" s="260"/>
    </row>
    <row r="6" spans="1:9" x14ac:dyDescent="0.2">
      <c r="A6" s="32">
        <v>2100</v>
      </c>
      <c r="B6" t="s">
        <v>835</v>
      </c>
      <c r="C6" s="246">
        <f t="shared" si="0"/>
        <v>1272190.1299999999</v>
      </c>
      <c r="D6" s="20">
        <f>'DOE25'!L194+'DOE25'!L212+'DOE25'!L230-F6-G6</f>
        <v>1271410.2599999998</v>
      </c>
      <c r="E6" s="244"/>
      <c r="F6" s="256">
        <f>'DOE25'!J194+'DOE25'!J212+'DOE25'!J230</f>
        <v>619.87</v>
      </c>
      <c r="G6" s="53">
        <f>'DOE25'!K194+'DOE25'!K212+'DOE25'!K230</f>
        <v>160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1207241.33</v>
      </c>
      <c r="D7" s="20">
        <f>'DOE25'!L195+'DOE25'!L213+'DOE25'!L231-F7-G7</f>
        <v>1053231.97</v>
      </c>
      <c r="E7" s="244"/>
      <c r="F7" s="256">
        <f>'DOE25'!J195+'DOE25'!J213+'DOE25'!J231</f>
        <v>150741.29999999999</v>
      </c>
      <c r="G7" s="53">
        <f>'DOE25'!K195+'DOE25'!K213+'DOE25'!K231</f>
        <v>3268.06</v>
      </c>
      <c r="H7" s="260"/>
    </row>
    <row r="8" spans="1:9" x14ac:dyDescent="0.2">
      <c r="A8" s="32">
        <v>2300</v>
      </c>
      <c r="B8" t="s">
        <v>836</v>
      </c>
      <c r="C8" s="246">
        <f t="shared" si="0"/>
        <v>396163.45000000007</v>
      </c>
      <c r="D8" s="244"/>
      <c r="E8" s="20">
        <f>'DOE25'!L196+'DOE25'!L214+'DOE25'!L232-F8-G8-D9-D11</f>
        <v>387402.34000000008</v>
      </c>
      <c r="F8" s="256">
        <f>'DOE25'!J196+'DOE25'!J214+'DOE25'!J232</f>
        <v>0</v>
      </c>
      <c r="G8" s="53">
        <f>'DOE25'!K196+'DOE25'!K214+'DOE25'!K232</f>
        <v>8761.11</v>
      </c>
      <c r="H8" s="260"/>
    </row>
    <row r="9" spans="1:9" x14ac:dyDescent="0.2">
      <c r="A9" s="32">
        <v>2310</v>
      </c>
      <c r="B9" t="s">
        <v>852</v>
      </c>
      <c r="C9" s="246">
        <f t="shared" si="0"/>
        <v>76933.08</v>
      </c>
      <c r="D9" s="245">
        <v>76933.08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25250</v>
      </c>
      <c r="D10" s="244"/>
      <c r="E10" s="245">
        <v>25250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315342.52</v>
      </c>
      <c r="D11" s="245">
        <v>315342.52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1106918.82</v>
      </c>
      <c r="D12" s="20">
        <f>'DOE25'!L197+'DOE25'!L215+'DOE25'!L233-F12-G12</f>
        <v>1094714.1700000002</v>
      </c>
      <c r="E12" s="244"/>
      <c r="F12" s="256">
        <f>'DOE25'!J197+'DOE25'!J215+'DOE25'!J233</f>
        <v>2438.65</v>
      </c>
      <c r="G12" s="53">
        <f>'DOE25'!K197+'DOE25'!K215+'DOE25'!K233</f>
        <v>9766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17807.41</v>
      </c>
      <c r="D13" s="244"/>
      <c r="E13" s="20">
        <f>'DOE25'!L198+'DOE25'!L216+'DOE25'!L234-F13-G13</f>
        <v>17807.41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2021464.3399999999</v>
      </c>
      <c r="D14" s="20">
        <f>'DOE25'!L199+'DOE25'!L217+'DOE25'!L235-F14-G14</f>
        <v>1766683.6099999999</v>
      </c>
      <c r="E14" s="244"/>
      <c r="F14" s="256">
        <f>'DOE25'!J199+'DOE25'!J217+'DOE25'!J235</f>
        <v>254680.72999999998</v>
      </c>
      <c r="G14" s="53">
        <f>'DOE25'!K199+'DOE25'!K217+'DOE25'!K235</f>
        <v>100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831512.48</v>
      </c>
      <c r="D15" s="20">
        <f>'DOE25'!L200+'DOE25'!L218+'DOE25'!L236-F15-G15</f>
        <v>831512.48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341367.38</v>
      </c>
      <c r="D16" s="244"/>
      <c r="E16" s="20">
        <f>'DOE25'!L201+'DOE25'!L219+'DOE25'!L237-F16-G16</f>
        <v>341367.38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320930.28000000003</v>
      </c>
      <c r="D25" s="244"/>
      <c r="E25" s="244"/>
      <c r="F25" s="259"/>
      <c r="G25" s="257"/>
      <c r="H25" s="258">
        <f>'DOE25'!L252+'DOE25'!L253+'DOE25'!L333+'DOE25'!L334</f>
        <v>320930.28000000003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422835.08999999997</v>
      </c>
      <c r="D29" s="20">
        <f>'DOE25'!L350+'DOE25'!L351+'DOE25'!L352-'DOE25'!I359-F29-G29</f>
        <v>420417.98</v>
      </c>
      <c r="E29" s="244"/>
      <c r="F29" s="256">
        <f>'DOE25'!J350+'DOE25'!J351+'DOE25'!J352</f>
        <v>1884</v>
      </c>
      <c r="G29" s="53">
        <f>'DOE25'!K350+'DOE25'!K351+'DOE25'!K352</f>
        <v>533.11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570696.80999999994</v>
      </c>
      <c r="D31" s="20">
        <f>'DOE25'!L282+'DOE25'!L301+'DOE25'!L320+'DOE25'!L325+'DOE25'!L326+'DOE25'!L327-F31-G31</f>
        <v>533926.49</v>
      </c>
      <c r="E31" s="244"/>
      <c r="F31" s="256">
        <f>'DOE25'!J282+'DOE25'!J301+'DOE25'!J320+'DOE25'!J325+'DOE25'!J326+'DOE25'!J327</f>
        <v>13695.130000000001</v>
      </c>
      <c r="G31" s="53">
        <f>'DOE25'!K282+'DOE25'!K301+'DOE25'!K320+'DOE25'!K325+'DOE25'!K326+'DOE25'!K327</f>
        <v>23075.19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17936514.789999999</v>
      </c>
      <c r="E33" s="247">
        <f>SUM(E5:E31)</f>
        <v>771827.13000000012</v>
      </c>
      <c r="F33" s="247">
        <f>SUM(F5:F31)</f>
        <v>448305.01</v>
      </c>
      <c r="G33" s="247">
        <f>SUM(G5:G31)</f>
        <v>66550.97</v>
      </c>
      <c r="H33" s="247">
        <f>SUM(H5:H31)</f>
        <v>320930.28000000003</v>
      </c>
    </row>
    <row r="35" spans="2:8" ht="12" thickBot="1" x14ac:dyDescent="0.25">
      <c r="B35" s="254" t="s">
        <v>881</v>
      </c>
      <c r="D35" s="255">
        <f>E33</f>
        <v>771827.13000000012</v>
      </c>
      <c r="E35" s="250"/>
    </row>
    <row r="36" spans="2:8" ht="12" thickTop="1" x14ac:dyDescent="0.2">
      <c r="B36" t="s">
        <v>849</v>
      </c>
      <c r="D36" s="20">
        <f>D33</f>
        <v>17936514.789999999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28AF-0C32-461A-B0D0-E269523CF07E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C131" sqref="C131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Inter-Lakes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1403332.1</v>
      </c>
      <c r="D9" s="95">
        <f>'DOE25'!G9</f>
        <v>0</v>
      </c>
      <c r="E9" s="95">
        <f>'DOE25'!H9</f>
        <v>0</v>
      </c>
      <c r="F9" s="95">
        <f>'DOE25'!I9</f>
        <v>3231.11</v>
      </c>
      <c r="G9" s="95">
        <f>'DOE25'!J9</f>
        <v>490778.63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2107773.5499999998</v>
      </c>
      <c r="D12" s="95">
        <f>'DOE25'!G12</f>
        <v>1001751.02</v>
      </c>
      <c r="E12" s="95">
        <f>'DOE25'!H12</f>
        <v>929819.49</v>
      </c>
      <c r="F12" s="95">
        <f>'DOE25'!I12</f>
        <v>22.38</v>
      </c>
      <c r="G12" s="95">
        <f>'DOE25'!J12</f>
        <v>25000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92120.73</v>
      </c>
      <c r="D13" s="95">
        <f>'DOE25'!G13</f>
        <v>57838.720000000001</v>
      </c>
      <c r="E13" s="95">
        <f>'DOE25'!H13</f>
        <v>158916.09</v>
      </c>
      <c r="F13" s="95">
        <f>'DOE25'!I13</f>
        <v>0</v>
      </c>
      <c r="G13" s="95">
        <f>'DOE25'!J13</f>
        <v>20000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-1159250.3600000001</v>
      </c>
      <c r="D14" s="95">
        <f>'DOE25'!G14</f>
        <v>-3718.95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15000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2458976.0199999996</v>
      </c>
      <c r="D19" s="41">
        <f>SUM(D9:D18)</f>
        <v>1055870.79</v>
      </c>
      <c r="E19" s="41">
        <f>SUM(E9:E18)</f>
        <v>1088735.58</v>
      </c>
      <c r="F19" s="41">
        <f>SUM(F9:F18)</f>
        <v>3253.4900000000002</v>
      </c>
      <c r="G19" s="41">
        <f>SUM(G9:G18)</f>
        <v>535778.63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1956592.89</v>
      </c>
      <c r="D22" s="95">
        <f>'DOE25'!G23</f>
        <v>1020777.82</v>
      </c>
      <c r="E22" s="95">
        <f>'DOE25'!H23</f>
        <v>1061973.3500000001</v>
      </c>
      <c r="F22" s="95">
        <f>'DOE25'!I23</f>
        <v>22.38</v>
      </c>
      <c r="G22" s="95">
        <f>'DOE25'!J23</f>
        <v>25000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185929.51</v>
      </c>
      <c r="D24" s="95">
        <f>'DOE25'!G25</f>
        <v>497.75</v>
      </c>
      <c r="E24" s="95">
        <f>'DOE25'!H25</f>
        <v>7080.23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11992.86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11686.77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2154515.2599999998</v>
      </c>
      <c r="D32" s="41">
        <f>SUM(D22:D31)</f>
        <v>1021275.57</v>
      </c>
      <c r="E32" s="41">
        <f>SUM(E22:E31)</f>
        <v>1080740.3500000001</v>
      </c>
      <c r="F32" s="41">
        <f>SUM(F22:F31)</f>
        <v>22.38</v>
      </c>
      <c r="G32" s="41">
        <f>SUM(G22:G31)</f>
        <v>25000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115122.16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34595.22</v>
      </c>
      <c r="E40" s="95">
        <f>'DOE25'!H41</f>
        <v>7995.23</v>
      </c>
      <c r="F40" s="95">
        <f>'DOE25'!I41</f>
        <v>3231.11</v>
      </c>
      <c r="G40" s="95">
        <f>'DOE25'!J41</f>
        <v>510778.63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189338.6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304460.76</v>
      </c>
      <c r="D42" s="41">
        <f>SUM(D34:D41)</f>
        <v>34595.22</v>
      </c>
      <c r="E42" s="41">
        <f>SUM(E34:E41)</f>
        <v>7995.23</v>
      </c>
      <c r="F42" s="41">
        <f>SUM(F34:F41)</f>
        <v>3231.11</v>
      </c>
      <c r="G42" s="41">
        <f>SUM(G34:G41)</f>
        <v>510778.63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2458976.0199999996</v>
      </c>
      <c r="D43" s="41">
        <f>D42+D32</f>
        <v>1055870.79</v>
      </c>
      <c r="E43" s="41">
        <f>E42+E32</f>
        <v>1088735.58</v>
      </c>
      <c r="F43" s="41">
        <f>F42+F32</f>
        <v>3253.4900000000002</v>
      </c>
      <c r="G43" s="41">
        <f>G42+G32</f>
        <v>535778.63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11159851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39917.69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6097.36</v>
      </c>
      <c r="D51" s="95">
        <f>'DOE25'!G88</f>
        <v>0</v>
      </c>
      <c r="E51" s="95">
        <f>'DOE25'!H88</f>
        <v>0</v>
      </c>
      <c r="F51" s="95">
        <f>'DOE25'!I88</f>
        <v>0.94</v>
      </c>
      <c r="G51" s="95">
        <f>'DOE25'!J88</f>
        <v>2395.73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269029.25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89141.779999999984</v>
      </c>
      <c r="D53" s="95">
        <f>SUM('DOE25'!G90:G102)</f>
        <v>0</v>
      </c>
      <c r="E53" s="95">
        <f>SUM('DOE25'!H90:H102)</f>
        <v>49785.4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135156.82999999999</v>
      </c>
      <c r="D54" s="130">
        <f>SUM(D49:D53)</f>
        <v>269029.25</v>
      </c>
      <c r="E54" s="130">
        <f>SUM(E49:E53)</f>
        <v>49785.4</v>
      </c>
      <c r="F54" s="130">
        <f>SUM(F49:F53)</f>
        <v>0.94</v>
      </c>
      <c r="G54" s="130">
        <f>SUM(G49:G53)</f>
        <v>2395.73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11295007.83</v>
      </c>
      <c r="D55" s="22">
        <f>D48+D54</f>
        <v>269029.25</v>
      </c>
      <c r="E55" s="22">
        <f>E48+E54</f>
        <v>49785.4</v>
      </c>
      <c r="F55" s="22">
        <f>F48+F54</f>
        <v>0.94</v>
      </c>
      <c r="G55" s="22">
        <f>G48+G54</f>
        <v>2395.73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116906.2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6246553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44854.8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6408314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171611.93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144626.44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10514.2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9000</v>
      </c>
      <c r="D69" s="95">
        <f>SUM('DOE25'!G123:G127)</f>
        <v>5254.29</v>
      </c>
      <c r="E69" s="95">
        <f>SUM('DOE25'!H123:H127)</f>
        <v>87701.69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335752.57</v>
      </c>
      <c r="D70" s="130">
        <f>SUM(D64:D69)</f>
        <v>5254.29</v>
      </c>
      <c r="E70" s="130">
        <f>SUM(E64:E69)</f>
        <v>87701.69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6744066.5700000003</v>
      </c>
      <c r="D73" s="130">
        <f>SUM(D71:D72)+D70+D62</f>
        <v>5254.29</v>
      </c>
      <c r="E73" s="130">
        <f>SUM(E71:E72)+E70+E62</f>
        <v>87701.69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143802.20000000001</v>
      </c>
      <c r="D80" s="95">
        <f>SUM('DOE25'!G145:G153)</f>
        <v>149028.42000000001</v>
      </c>
      <c r="E80" s="95">
        <f>SUM('DOE25'!H145:H153)</f>
        <v>437812.57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11742.04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155544.24000000002</v>
      </c>
      <c r="D83" s="131">
        <f>SUM(D77:D82)</f>
        <v>149028.42000000001</v>
      </c>
      <c r="E83" s="131">
        <f>SUM(E77:E82)</f>
        <v>437812.57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20000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20000</v>
      </c>
    </row>
    <row r="96" spans="1:7" ht="12.75" thickTop="1" thickBot="1" x14ac:dyDescent="0.25">
      <c r="A96" s="33" t="s">
        <v>797</v>
      </c>
      <c r="C96" s="86">
        <f>C55+C73+C83+C95</f>
        <v>18194618.639999997</v>
      </c>
      <c r="D96" s="86">
        <f>D55+D73+D83+D95</f>
        <v>423311.95999999996</v>
      </c>
      <c r="E96" s="86">
        <f>E55+E73+E83+E95</f>
        <v>575299.66</v>
      </c>
      <c r="F96" s="86">
        <f>F55+F73+F83+F95</f>
        <v>0.94</v>
      </c>
      <c r="G96" s="86">
        <f>G55+G73+G95</f>
        <v>22395.73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7305592.3399999999</v>
      </c>
      <c r="D101" s="24" t="s">
        <v>312</v>
      </c>
      <c r="E101" s="95">
        <f>('DOE25'!L268)+('DOE25'!L287)+('DOE25'!L306)</f>
        <v>278349.59000000003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2902039.71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56798.58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353044.43</v>
      </c>
      <c r="D104" s="24" t="s">
        <v>312</v>
      </c>
      <c r="E104" s="95">
        <f>+('DOE25'!L271)+('DOE25'!L290)+('DOE25'!L309)</f>
        <v>11502.73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10617475.060000001</v>
      </c>
      <c r="D107" s="86">
        <f>SUM(D101:D106)</f>
        <v>0</v>
      </c>
      <c r="E107" s="86">
        <f>SUM(E101:E106)</f>
        <v>289852.32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1272190.1299999999</v>
      </c>
      <c r="D110" s="24" t="s">
        <v>312</v>
      </c>
      <c r="E110" s="95">
        <f>+('DOE25'!L273)+('DOE25'!L292)+('DOE25'!L311)</f>
        <v>122764.10999999999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1207241.33</v>
      </c>
      <c r="D111" s="24" t="s">
        <v>312</v>
      </c>
      <c r="E111" s="95">
        <f>+('DOE25'!L274)+('DOE25'!L293)+('DOE25'!L312)</f>
        <v>136875.47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788439.05</v>
      </c>
      <c r="D112" s="24" t="s">
        <v>312</v>
      </c>
      <c r="E112" s="95">
        <f>+('DOE25'!L275)+('DOE25'!L294)+('DOE25'!L313)</f>
        <v>20325.32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1106918.82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17807.41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2021464.3399999999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831512.48</v>
      </c>
      <c r="D116" s="24" t="s">
        <v>312</v>
      </c>
      <c r="E116" s="95">
        <f>+('DOE25'!L279)+('DOE25'!L298)+('DOE25'!L317)</f>
        <v>879.59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341367.38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422835.08999999997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7586940.9400000004</v>
      </c>
      <c r="D120" s="86">
        <f>SUM(D110:D119)</f>
        <v>422835.08999999997</v>
      </c>
      <c r="E120" s="86">
        <f>SUM(E110:E119)</f>
        <v>280844.49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290000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30930.28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22395.73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-2395.7299999999996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340930.28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18545346.280000001</v>
      </c>
      <c r="D137" s="86">
        <f>(D107+D120+D136)</f>
        <v>422835.08999999997</v>
      </c>
      <c r="E137" s="86">
        <f>(E107+E120+E136)</f>
        <v>570696.81000000006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07/07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08/12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1450000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3.91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870000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870000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290000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290000</v>
      </c>
    </row>
    <row r="151" spans="1:7" x14ac:dyDescent="0.2">
      <c r="A151" s="22" t="s">
        <v>35</v>
      </c>
      <c r="B151" s="137">
        <f>'DOE25'!F488</f>
        <v>580000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580000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580000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580000</v>
      </c>
    </row>
    <row r="154" spans="1:7" x14ac:dyDescent="0.2">
      <c r="A154" s="22" t="s">
        <v>38</v>
      </c>
      <c r="B154" s="137">
        <f>'DOE25'!F491</f>
        <v>290000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290000</v>
      </c>
    </row>
    <row r="155" spans="1:7" x14ac:dyDescent="0.2">
      <c r="A155" s="22" t="s">
        <v>39</v>
      </c>
      <c r="B155" s="137">
        <f>'DOE25'!F492</f>
        <v>19843.25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19843.25</v>
      </c>
    </row>
    <row r="156" spans="1:7" x14ac:dyDescent="0.2">
      <c r="A156" s="22" t="s">
        <v>269</v>
      </c>
      <c r="B156" s="137">
        <f>'DOE25'!F493</f>
        <v>309843.25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309843.25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CAAC-F540-4A2A-92E8-2F5DA39628DA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Inter-Lakes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16223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15772</v>
      </c>
    </row>
    <row r="7" spans="1:4" x14ac:dyDescent="0.2">
      <c r="B7" t="s">
        <v>736</v>
      </c>
      <c r="C7" s="179">
        <f>IF('DOE25'!I655+'DOE25'!I660=0,0,ROUND('DOE25'!I662,0))</f>
        <v>16070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7583942</v>
      </c>
      <c r="D10" s="182">
        <f>ROUND((C10/$C$28)*100,1)</f>
        <v>40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2902040</v>
      </c>
      <c r="D11" s="182">
        <f>ROUND((C11/$C$28)*100,1)</f>
        <v>15.3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56799</v>
      </c>
      <c r="D12" s="182">
        <f>ROUND((C12/$C$28)*100,1)</f>
        <v>0.3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364547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1394954</v>
      </c>
      <c r="D15" s="182">
        <f t="shared" ref="D15:D27" si="0">ROUND((C15/$C$28)*100,1)</f>
        <v>7.4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1344117</v>
      </c>
      <c r="D16" s="182">
        <f t="shared" si="0"/>
        <v>7.1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1150132</v>
      </c>
      <c r="D17" s="182">
        <f t="shared" si="0"/>
        <v>6.1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1106919</v>
      </c>
      <c r="D18" s="182">
        <f t="shared" si="0"/>
        <v>5.8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17807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2021464</v>
      </c>
      <c r="D20" s="182">
        <f t="shared" si="0"/>
        <v>10.7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832392</v>
      </c>
      <c r="D21" s="182">
        <f t="shared" si="0"/>
        <v>4.4000000000000004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30930</v>
      </c>
      <c r="D25" s="182">
        <f t="shared" si="0"/>
        <v>0.2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153805.75</v>
      </c>
      <c r="D27" s="182">
        <f t="shared" si="0"/>
        <v>0.8</v>
      </c>
    </row>
    <row r="28" spans="1:4" x14ac:dyDescent="0.2">
      <c r="B28" s="187" t="s">
        <v>754</v>
      </c>
      <c r="C28" s="180">
        <f>SUM(C10:C27)</f>
        <v>18959848.75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18959848.75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290000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11159851</v>
      </c>
      <c r="D35" s="182">
        <f t="shared" ref="D35:D40" si="1">ROUND((C35/$C$41)*100,1)</f>
        <v>59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187338.90000000037</v>
      </c>
      <c r="D36" s="182">
        <f t="shared" si="1"/>
        <v>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6363459</v>
      </c>
      <c r="D37" s="182">
        <f t="shared" si="1"/>
        <v>33.6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473563</v>
      </c>
      <c r="D38" s="182">
        <f t="shared" si="1"/>
        <v>2.5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742385</v>
      </c>
      <c r="D39" s="182">
        <f t="shared" si="1"/>
        <v>3.9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18926596.899999999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2974-7C33-4609-A876-787AA6DA663E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Inter-Lakes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2010-09-01T14:56:55Z</cp:lastPrinted>
  <dcterms:created xsi:type="dcterms:W3CDTF">1997-12-04T19:04:30Z</dcterms:created>
  <dcterms:modified xsi:type="dcterms:W3CDTF">2025-01-02T14:55:08Z</dcterms:modified>
</cp:coreProperties>
</file>