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A3A34295-DAD7-466B-92D9-02E032B0DEE3}" xr6:coauthVersionLast="47" xr6:coauthVersionMax="47" xr10:uidLastSave="{00000000-0000-0000-0000-000000000000}"/>
  <workbookProtection workbookPassword="B70A" lockStructure="1"/>
  <bookViews>
    <workbookView xWindow="2550" yWindow="2550" windowWidth="21600" windowHeight="11505" tabRatio="855" xr2:uid="{29817B04-EF54-4A99-88A5-2E09EF8DA9CF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2" l="1"/>
  <c r="B37" i="12"/>
  <c r="B40" i="12" s="1"/>
  <c r="A40" i="12" s="1"/>
  <c r="B39" i="12"/>
  <c r="H410" i="1"/>
  <c r="L410" i="1" s="1"/>
  <c r="F511" i="1"/>
  <c r="F514" i="1" s="1"/>
  <c r="F535" i="1" s="1"/>
  <c r="H516" i="1"/>
  <c r="I511" i="1"/>
  <c r="G511" i="1"/>
  <c r="J513" i="1"/>
  <c r="I513" i="1"/>
  <c r="G513" i="1"/>
  <c r="G514" i="1" s="1"/>
  <c r="G535" i="1" s="1"/>
  <c r="F513" i="1"/>
  <c r="L513" i="1" s="1"/>
  <c r="F541" i="1" s="1"/>
  <c r="K541" i="1" s="1"/>
  <c r="H518" i="1"/>
  <c r="G518" i="1"/>
  <c r="F518" i="1"/>
  <c r="L518" i="1" s="1"/>
  <c r="G541" i="1" s="1"/>
  <c r="H517" i="1"/>
  <c r="G517" i="1"/>
  <c r="F517" i="1"/>
  <c r="G516" i="1"/>
  <c r="F516" i="1"/>
  <c r="G512" i="1"/>
  <c r="F512" i="1"/>
  <c r="L512" i="1" s="1"/>
  <c r="F540" i="1" s="1"/>
  <c r="J511" i="1"/>
  <c r="L511" i="1" s="1"/>
  <c r="H568" i="1"/>
  <c r="I568" i="1" s="1"/>
  <c r="H655" i="1"/>
  <c r="G655" i="1"/>
  <c r="F655" i="1"/>
  <c r="G506" i="1"/>
  <c r="I506" i="1"/>
  <c r="I507" i="1" s="1"/>
  <c r="H504" i="1"/>
  <c r="F504" i="1"/>
  <c r="J88" i="1"/>
  <c r="H432" i="1"/>
  <c r="G432" i="1"/>
  <c r="G438" i="1" s="1"/>
  <c r="G630" i="1" s="1"/>
  <c r="F30" i="1"/>
  <c r="C29" i="2" s="1"/>
  <c r="F9" i="1"/>
  <c r="F19" i="1" s="1"/>
  <c r="G607" i="1" s="1"/>
  <c r="C60" i="2"/>
  <c r="B2" i="13"/>
  <c r="F8" i="13"/>
  <c r="G8" i="13"/>
  <c r="L196" i="1"/>
  <c r="C112" i="2" s="1"/>
  <c r="L214" i="1"/>
  <c r="L232" i="1"/>
  <c r="D39" i="13"/>
  <c r="F13" i="13"/>
  <c r="G13" i="13"/>
  <c r="L198" i="1"/>
  <c r="C114" i="2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L189" i="1"/>
  <c r="L203" i="1" s="1"/>
  <c r="L190" i="1"/>
  <c r="L191" i="1"/>
  <c r="C103" i="2" s="1"/>
  <c r="L192" i="1"/>
  <c r="C13" i="10" s="1"/>
  <c r="L207" i="1"/>
  <c r="L208" i="1"/>
  <c r="L209" i="1"/>
  <c r="L210" i="1"/>
  <c r="L225" i="1"/>
  <c r="L239" i="1" s="1"/>
  <c r="L226" i="1"/>
  <c r="C11" i="10" s="1"/>
  <c r="L227" i="1"/>
  <c r="C12" i="10" s="1"/>
  <c r="L228" i="1"/>
  <c r="F6" i="13"/>
  <c r="G6" i="13"/>
  <c r="G33" i="13" s="1"/>
  <c r="L194" i="1"/>
  <c r="C15" i="10" s="1"/>
  <c r="L212" i="1"/>
  <c r="L230" i="1"/>
  <c r="F7" i="13"/>
  <c r="G7" i="13"/>
  <c r="L195" i="1"/>
  <c r="D7" i="13" s="1"/>
  <c r="C7" i="13" s="1"/>
  <c r="L213" i="1"/>
  <c r="L221" i="1" s="1"/>
  <c r="G650" i="1" s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C20" i="10" s="1"/>
  <c r="L235" i="1"/>
  <c r="F15" i="13"/>
  <c r="G15" i="13"/>
  <c r="L200" i="1"/>
  <c r="C21" i="10" s="1"/>
  <c r="L218" i="1"/>
  <c r="L236" i="1"/>
  <c r="F17" i="13"/>
  <c r="G17" i="13"/>
  <c r="L243" i="1"/>
  <c r="C24" i="10" s="1"/>
  <c r="D17" i="13"/>
  <c r="C17" i="13" s="1"/>
  <c r="F18" i="13"/>
  <c r="G18" i="13"/>
  <c r="L244" i="1"/>
  <c r="D18" i="13" s="1"/>
  <c r="C18" i="13" s="1"/>
  <c r="F19" i="13"/>
  <c r="D19" i="13" s="1"/>
  <c r="C19" i="13" s="1"/>
  <c r="G19" i="13"/>
  <c r="L245" i="1"/>
  <c r="F29" i="13"/>
  <c r="G29" i="13"/>
  <c r="L350" i="1"/>
  <c r="D29" i="13" s="1"/>
  <c r="C29" i="13" s="1"/>
  <c r="L351" i="1"/>
  <c r="G651" i="1" s="1"/>
  <c r="L352" i="1"/>
  <c r="I359" i="1"/>
  <c r="I361" i="1" s="1"/>
  <c r="H624" i="1" s="1"/>
  <c r="J282" i="1"/>
  <c r="F31" i="13" s="1"/>
  <c r="J301" i="1"/>
  <c r="J320" i="1"/>
  <c r="K282" i="1"/>
  <c r="K301" i="1"/>
  <c r="K320" i="1"/>
  <c r="G31" i="13"/>
  <c r="L268" i="1"/>
  <c r="E101" i="2" s="1"/>
  <c r="L269" i="1"/>
  <c r="L270" i="1"/>
  <c r="L271" i="1"/>
  <c r="L273" i="1"/>
  <c r="L274" i="1"/>
  <c r="L275" i="1"/>
  <c r="L276" i="1"/>
  <c r="L277" i="1"/>
  <c r="L278" i="1"/>
  <c r="L279" i="1"/>
  <c r="E116" i="2" s="1"/>
  <c r="L280" i="1"/>
  <c r="E117" i="2" s="1"/>
  <c r="L287" i="1"/>
  <c r="L288" i="1"/>
  <c r="L301" i="1" s="1"/>
  <c r="L289" i="1"/>
  <c r="L290" i="1"/>
  <c r="L292" i="1"/>
  <c r="L293" i="1"/>
  <c r="L294" i="1"/>
  <c r="L295" i="1"/>
  <c r="L296" i="1"/>
  <c r="L297" i="1"/>
  <c r="E115" i="2" s="1"/>
  <c r="L298" i="1"/>
  <c r="G652" i="1" s="1"/>
  <c r="L299" i="1"/>
  <c r="L306" i="1"/>
  <c r="L307" i="1"/>
  <c r="L308" i="1"/>
  <c r="L309" i="1"/>
  <c r="L311" i="1"/>
  <c r="L312" i="1"/>
  <c r="L313" i="1"/>
  <c r="L314" i="1"/>
  <c r="L315" i="1"/>
  <c r="L320" i="1" s="1"/>
  <c r="L316" i="1"/>
  <c r="L317" i="1"/>
  <c r="H652" i="1" s="1"/>
  <c r="L318" i="1"/>
  <c r="L325" i="1"/>
  <c r="E106" i="2" s="1"/>
  <c r="L326" i="1"/>
  <c r="L327" i="1"/>
  <c r="L252" i="1"/>
  <c r="H25" i="13" s="1"/>
  <c r="L253" i="1"/>
  <c r="C124" i="2" s="1"/>
  <c r="L333" i="1"/>
  <c r="E123" i="2" s="1"/>
  <c r="L334" i="1"/>
  <c r="L247" i="1"/>
  <c r="C29" i="10" s="1"/>
  <c r="L328" i="1"/>
  <c r="E122" i="2" s="1"/>
  <c r="C11" i="13"/>
  <c r="C10" i="13"/>
  <c r="C9" i="13"/>
  <c r="L353" i="1"/>
  <c r="B4" i="12"/>
  <c r="B36" i="12"/>
  <c r="C36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 s="1"/>
  <c r="G51" i="2"/>
  <c r="G54" i="2" s="1"/>
  <c r="G53" i="2"/>
  <c r="F2" i="11"/>
  <c r="L603" i="1"/>
  <c r="L602" i="1"/>
  <c r="G653" i="1" s="1"/>
  <c r="L601" i="1"/>
  <c r="F653" i="1" s="1"/>
  <c r="C40" i="10"/>
  <c r="F52" i="1"/>
  <c r="F104" i="1" s="1"/>
  <c r="G52" i="1"/>
  <c r="H52" i="1"/>
  <c r="I52" i="1"/>
  <c r="F71" i="1"/>
  <c r="C49" i="2" s="1"/>
  <c r="F86" i="1"/>
  <c r="C50" i="2" s="1"/>
  <c r="F103" i="1"/>
  <c r="G103" i="1"/>
  <c r="G104" i="1" s="1"/>
  <c r="H71" i="1"/>
  <c r="H104" i="1" s="1"/>
  <c r="H185" i="1" s="1"/>
  <c r="G619" i="1" s="1"/>
  <c r="J619" i="1" s="1"/>
  <c r="H86" i="1"/>
  <c r="E50" i="2" s="1"/>
  <c r="H103" i="1"/>
  <c r="I103" i="1"/>
  <c r="I104" i="1"/>
  <c r="J103" i="1"/>
  <c r="J104" i="1"/>
  <c r="C37" i="10"/>
  <c r="F113" i="1"/>
  <c r="F128" i="1"/>
  <c r="F132" i="1"/>
  <c r="C38" i="10" s="1"/>
  <c r="G113" i="1"/>
  <c r="G132" i="1" s="1"/>
  <c r="G128" i="1"/>
  <c r="H113" i="1"/>
  <c r="H128" i="1"/>
  <c r="H132" i="1"/>
  <c r="I113" i="1"/>
  <c r="I132" i="1" s="1"/>
  <c r="I185" i="1" s="1"/>
  <c r="G620" i="1" s="1"/>
  <c r="J620" i="1" s="1"/>
  <c r="I128" i="1"/>
  <c r="J113" i="1"/>
  <c r="J128" i="1"/>
  <c r="J132" i="1"/>
  <c r="F139" i="1"/>
  <c r="F161" i="1" s="1"/>
  <c r="C39" i="10" s="1"/>
  <c r="F154" i="1"/>
  <c r="G139" i="1"/>
  <c r="G154" i="1"/>
  <c r="G161" i="1"/>
  <c r="H139" i="1"/>
  <c r="H161" i="1" s="1"/>
  <c r="H154" i="1"/>
  <c r="I139" i="1"/>
  <c r="F77" i="2" s="1"/>
  <c r="F83" i="2" s="1"/>
  <c r="I154" i="1"/>
  <c r="I161" i="1" s="1"/>
  <c r="C18" i="10"/>
  <c r="L242" i="1"/>
  <c r="C23" i="10" s="1"/>
  <c r="L324" i="1"/>
  <c r="E105" i="2" s="1"/>
  <c r="L246" i="1"/>
  <c r="L260" i="1"/>
  <c r="L261" i="1"/>
  <c r="L341" i="1"/>
  <c r="E134" i="2" s="1"/>
  <c r="L342" i="1"/>
  <c r="E135" i="2" s="1"/>
  <c r="C26" i="10"/>
  <c r="I660" i="1"/>
  <c r="I659" i="1"/>
  <c r="C42" i="10"/>
  <c r="L366" i="1"/>
  <c r="L367" i="1"/>
  <c r="L368" i="1"/>
  <c r="L369" i="1"/>
  <c r="L370" i="1"/>
  <c r="F122" i="2" s="1"/>
  <c r="F136" i="2" s="1"/>
  <c r="L371" i="1"/>
  <c r="L372" i="1"/>
  <c r="B2" i="10"/>
  <c r="L336" i="1"/>
  <c r="L337" i="1"/>
  <c r="E127" i="2" s="1"/>
  <c r="L338" i="1"/>
  <c r="L339" i="1"/>
  <c r="K343" i="1"/>
  <c r="L516" i="1"/>
  <c r="G539" i="1"/>
  <c r="G542" i="1" s="1"/>
  <c r="L517" i="1"/>
  <c r="L519" i="1" s="1"/>
  <c r="G540" i="1"/>
  <c r="L521" i="1"/>
  <c r="H539" i="1" s="1"/>
  <c r="L522" i="1"/>
  <c r="H540" i="1" s="1"/>
  <c r="L523" i="1"/>
  <c r="H541" i="1"/>
  <c r="L526" i="1"/>
  <c r="I539" i="1"/>
  <c r="I542" i="1" s="1"/>
  <c r="L527" i="1"/>
  <c r="I540" i="1"/>
  <c r="L528" i="1"/>
  <c r="I541" i="1"/>
  <c r="L531" i="1"/>
  <c r="J539" i="1" s="1"/>
  <c r="J542" i="1" s="1"/>
  <c r="L532" i="1"/>
  <c r="J540" i="1"/>
  <c r="L533" i="1"/>
  <c r="L534" i="1" s="1"/>
  <c r="J541" i="1"/>
  <c r="E124" i="2"/>
  <c r="K262" i="1"/>
  <c r="J262" i="1"/>
  <c r="I262" i="1"/>
  <c r="H262" i="1"/>
  <c r="G262" i="1"/>
  <c r="F262" i="1"/>
  <c r="L262" i="1" s="1"/>
  <c r="A1" i="2"/>
  <c r="A2" i="2"/>
  <c r="D9" i="2"/>
  <c r="D19" i="2" s="1"/>
  <c r="E9" i="2"/>
  <c r="F9" i="2"/>
  <c r="I431" i="1"/>
  <c r="J9" i="1"/>
  <c r="G9" i="2"/>
  <c r="C10" i="2"/>
  <c r="D10" i="2"/>
  <c r="E10" i="2"/>
  <c r="F10" i="2"/>
  <c r="C11" i="2"/>
  <c r="C12" i="2"/>
  <c r="D12" i="2"/>
  <c r="E12" i="2"/>
  <c r="E19" i="2" s="1"/>
  <c r="F12" i="2"/>
  <c r="F19" i="2" s="1"/>
  <c r="I433" i="1"/>
  <c r="J12" i="1" s="1"/>
  <c r="G12" i="2" s="1"/>
  <c r="C13" i="2"/>
  <c r="D13" i="2"/>
  <c r="E13" i="2"/>
  <c r="F13" i="2"/>
  <c r="I434" i="1"/>
  <c r="J13" i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C22" i="2"/>
  <c r="D22" i="2"/>
  <c r="E22" i="2"/>
  <c r="F22" i="2"/>
  <c r="I440" i="1"/>
  <c r="J23" i="1"/>
  <c r="G22" i="2"/>
  <c r="C23" i="2"/>
  <c r="D23" i="2"/>
  <c r="E23" i="2"/>
  <c r="E32" i="2" s="1"/>
  <c r="F23" i="2"/>
  <c r="F32" i="2" s="1"/>
  <c r="I441" i="1"/>
  <c r="J24" i="1" s="1"/>
  <c r="C24" i="2"/>
  <c r="D24" i="2"/>
  <c r="E24" i="2"/>
  <c r="F24" i="2"/>
  <c r="I442" i="1"/>
  <c r="J25" i="1"/>
  <c r="G24" i="2" s="1"/>
  <c r="C25" i="2"/>
  <c r="D25" i="2"/>
  <c r="D32" i="2" s="1"/>
  <c r="E25" i="2"/>
  <c r="F25" i="2"/>
  <c r="C26" i="2"/>
  <c r="F26" i="2"/>
  <c r="C27" i="2"/>
  <c r="F27" i="2"/>
  <c r="C28" i="2"/>
  <c r="D28" i="2"/>
  <c r="E28" i="2"/>
  <c r="F28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D34" i="2"/>
  <c r="D42" i="2" s="1"/>
  <c r="D43" i="2" s="1"/>
  <c r="E34" i="2"/>
  <c r="E42" i="2" s="1"/>
  <c r="E43" i="2" s="1"/>
  <c r="F34" i="2"/>
  <c r="C35" i="2"/>
  <c r="D35" i="2"/>
  <c r="E35" i="2"/>
  <c r="F35" i="2"/>
  <c r="C36" i="2"/>
  <c r="D36" i="2"/>
  <c r="E36" i="2"/>
  <c r="F36" i="2"/>
  <c r="I446" i="1"/>
  <c r="J37" i="1"/>
  <c r="G36" i="2"/>
  <c r="G42" i="2" s="1"/>
  <c r="C37" i="2"/>
  <c r="D37" i="2"/>
  <c r="E37" i="2"/>
  <c r="F37" i="2"/>
  <c r="F42" i="2" s="1"/>
  <c r="I447" i="1"/>
  <c r="J38" i="1" s="1"/>
  <c r="G37" i="2" s="1"/>
  <c r="C38" i="2"/>
  <c r="D38" i="2"/>
  <c r="E38" i="2"/>
  <c r="F38" i="2"/>
  <c r="I448" i="1"/>
  <c r="J40" i="1" s="1"/>
  <c r="G39" i="2" s="1"/>
  <c r="C40" i="2"/>
  <c r="D40" i="2"/>
  <c r="E40" i="2"/>
  <c r="F40" i="2"/>
  <c r="I449" i="1"/>
  <c r="J41" i="1"/>
  <c r="G40" i="2" s="1"/>
  <c r="C41" i="2"/>
  <c r="D41" i="2"/>
  <c r="E41" i="2"/>
  <c r="F41" i="2"/>
  <c r="C48" i="2"/>
  <c r="D48" i="2"/>
  <c r="E48" i="2"/>
  <c r="F48" i="2"/>
  <c r="E49" i="2"/>
  <c r="E54" i="2" s="1"/>
  <c r="E55" i="2" s="1"/>
  <c r="C51" i="2"/>
  <c r="D51" i="2"/>
  <c r="E51" i="2"/>
  <c r="F51" i="2"/>
  <c r="F54" i="2" s="1"/>
  <c r="F55" i="2" s="1"/>
  <c r="F96" i="2" s="1"/>
  <c r="D52" i="2"/>
  <c r="D54" i="2" s="1"/>
  <c r="D55" i="2" s="1"/>
  <c r="C53" i="2"/>
  <c r="D53" i="2"/>
  <c r="E53" i="2"/>
  <c r="F53" i="2"/>
  <c r="C58" i="2"/>
  <c r="C59" i="2"/>
  <c r="C62" i="2" s="1"/>
  <c r="C61" i="2"/>
  <c r="D61" i="2"/>
  <c r="D62" i="2" s="1"/>
  <c r="E61" i="2"/>
  <c r="F61" i="2"/>
  <c r="G61" i="2"/>
  <c r="E62" i="2"/>
  <c r="F62" i="2"/>
  <c r="G62" i="2"/>
  <c r="C64" i="2"/>
  <c r="F64" i="2"/>
  <c r="F70" i="2" s="1"/>
  <c r="F73" i="2" s="1"/>
  <c r="C65" i="2"/>
  <c r="F65" i="2"/>
  <c r="C66" i="2"/>
  <c r="C70" i="2" s="1"/>
  <c r="C73" i="2" s="1"/>
  <c r="C67" i="2"/>
  <c r="C68" i="2"/>
  <c r="E68" i="2"/>
  <c r="F68" i="2"/>
  <c r="C69" i="2"/>
  <c r="D69" i="2"/>
  <c r="D70" i="2" s="1"/>
  <c r="D73" i="2" s="1"/>
  <c r="E69" i="2"/>
  <c r="E70" i="2" s="1"/>
  <c r="E73" i="2" s="1"/>
  <c r="F69" i="2"/>
  <c r="G69" i="2"/>
  <c r="G70" i="2" s="1"/>
  <c r="G73" i="2" s="1"/>
  <c r="C71" i="2"/>
  <c r="D71" i="2"/>
  <c r="E71" i="2"/>
  <c r="C72" i="2"/>
  <c r="E72" i="2"/>
  <c r="C77" i="2"/>
  <c r="D77" i="2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D83" i="2"/>
  <c r="C85" i="2"/>
  <c r="F85" i="2"/>
  <c r="F95" i="2" s="1"/>
  <c r="C86" i="2"/>
  <c r="F86" i="2"/>
  <c r="D88" i="2"/>
  <c r="E88" i="2"/>
  <c r="F88" i="2"/>
  <c r="G88" i="2"/>
  <c r="C89" i="2"/>
  <c r="D89" i="2"/>
  <c r="E89" i="2"/>
  <c r="E95" i="2" s="1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G95" i="2"/>
  <c r="E102" i="2"/>
  <c r="E103" i="2"/>
  <c r="C104" i="2"/>
  <c r="E104" i="2"/>
  <c r="C105" i="2"/>
  <c r="D107" i="2"/>
  <c r="F107" i="2"/>
  <c r="G107" i="2"/>
  <c r="C110" i="2"/>
  <c r="E110" i="2"/>
  <c r="E120" i="2" s="1"/>
  <c r="E111" i="2"/>
  <c r="E112" i="2"/>
  <c r="E113" i="2"/>
  <c r="E114" i="2"/>
  <c r="C116" i="2"/>
  <c r="C117" i="2"/>
  <c r="F120" i="2"/>
  <c r="G120" i="2"/>
  <c r="G137" i="2" s="1"/>
  <c r="C122" i="2"/>
  <c r="D126" i="2"/>
  <c r="E126" i="2"/>
  <c r="F126" i="2"/>
  <c r="K411" i="1"/>
  <c r="K426" i="1" s="1"/>
  <c r="G126" i="2" s="1"/>
  <c r="G136" i="2" s="1"/>
  <c r="K419" i="1"/>
  <c r="K425" i="1"/>
  <c r="L255" i="1"/>
  <c r="C127" i="2"/>
  <c r="L256" i="1"/>
  <c r="C128" i="2" s="1"/>
  <c r="L257" i="1"/>
  <c r="C129" i="2" s="1"/>
  <c r="E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G150" i="2" s="1"/>
  <c r="C150" i="2"/>
  <c r="D150" i="2"/>
  <c r="E150" i="2"/>
  <c r="F150" i="2"/>
  <c r="B151" i="2"/>
  <c r="G151" i="2" s="1"/>
  <c r="C151" i="2"/>
  <c r="D151" i="2"/>
  <c r="E151" i="2"/>
  <c r="F151" i="2"/>
  <c r="B152" i="2"/>
  <c r="G152" i="2" s="1"/>
  <c r="C152" i="2"/>
  <c r="D152" i="2"/>
  <c r="E152" i="2"/>
  <c r="F152" i="2"/>
  <c r="F490" i="1"/>
  <c r="B153" i="2" s="1"/>
  <c r="G490" i="1"/>
  <c r="C153" i="2" s="1"/>
  <c r="H490" i="1"/>
  <c r="D153" i="2" s="1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B156" i="2"/>
  <c r="G493" i="1"/>
  <c r="C156" i="2" s="1"/>
  <c r="H493" i="1"/>
  <c r="D156" i="2"/>
  <c r="I493" i="1"/>
  <c r="E156" i="2"/>
  <c r="J493" i="1"/>
  <c r="K493" i="1" s="1"/>
  <c r="F156" i="2"/>
  <c r="G19" i="1"/>
  <c r="G608" i="1" s="1"/>
  <c r="H19" i="1"/>
  <c r="I19" i="1"/>
  <c r="G33" i="1"/>
  <c r="G44" i="1" s="1"/>
  <c r="H608" i="1" s="1"/>
  <c r="H33" i="1"/>
  <c r="I33" i="1"/>
  <c r="F43" i="1"/>
  <c r="G43" i="1"/>
  <c r="H43" i="1"/>
  <c r="H44" i="1" s="1"/>
  <c r="H609" i="1" s="1"/>
  <c r="I43" i="1"/>
  <c r="I44" i="1" s="1"/>
  <c r="H610" i="1" s="1"/>
  <c r="J610" i="1" s="1"/>
  <c r="F169" i="1"/>
  <c r="F184" i="1" s="1"/>
  <c r="I169" i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I184" i="1"/>
  <c r="F203" i="1"/>
  <c r="G203" i="1"/>
  <c r="G249" i="1" s="1"/>
  <c r="G263" i="1" s="1"/>
  <c r="H203" i="1"/>
  <c r="I203" i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49" i="1"/>
  <c r="H249" i="1"/>
  <c r="H263" i="1" s="1"/>
  <c r="I249" i="1"/>
  <c r="I263" i="1" s="1"/>
  <c r="J249" i="1"/>
  <c r="H638" i="1" s="1"/>
  <c r="F282" i="1"/>
  <c r="F330" i="1" s="1"/>
  <c r="F344" i="1" s="1"/>
  <c r="G282" i="1"/>
  <c r="G330" i="1" s="1"/>
  <c r="G344" i="1" s="1"/>
  <c r="H282" i="1"/>
  <c r="I282" i="1"/>
  <c r="I330" i="1" s="1"/>
  <c r="I344" i="1" s="1"/>
  <c r="F301" i="1"/>
  <c r="G301" i="1"/>
  <c r="H301" i="1"/>
  <c r="H330" i="1" s="1"/>
  <c r="H344" i="1" s="1"/>
  <c r="I301" i="1"/>
  <c r="F320" i="1"/>
  <c r="G320" i="1"/>
  <c r="H320" i="1"/>
  <c r="I320" i="1"/>
  <c r="F329" i="1"/>
  <c r="L329" i="1" s="1"/>
  <c r="G329" i="1"/>
  <c r="H329" i="1"/>
  <c r="I329" i="1"/>
  <c r="J329" i="1"/>
  <c r="K329" i="1"/>
  <c r="J330" i="1"/>
  <c r="J344" i="1" s="1"/>
  <c r="K330" i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I400" i="1" s="1"/>
  <c r="F399" i="1"/>
  <c r="F400" i="1" s="1"/>
  <c r="H633" i="1" s="1"/>
  <c r="G399" i="1"/>
  <c r="G400" i="1" s="1"/>
  <c r="H635" i="1" s="1"/>
  <c r="H399" i="1"/>
  <c r="I399" i="1"/>
  <c r="H400" i="1"/>
  <c r="L405" i="1"/>
  <c r="L411" i="1" s="1"/>
  <c r="L406" i="1"/>
  <c r="L407" i="1"/>
  <c r="L408" i="1"/>
  <c r="L409" i="1"/>
  <c r="F411" i="1"/>
  <c r="F426" i="1" s="1"/>
  <c r="G411" i="1"/>
  <c r="G426" i="1" s="1"/>
  <c r="H411" i="1"/>
  <c r="H426" i="1" s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J425" i="1"/>
  <c r="J426" i="1"/>
  <c r="F438" i="1"/>
  <c r="G629" i="1" s="1"/>
  <c r="J629" i="1" s="1"/>
  <c r="H438" i="1"/>
  <c r="F444" i="1"/>
  <c r="G444" i="1"/>
  <c r="G451" i="1" s="1"/>
  <c r="H630" i="1" s="1"/>
  <c r="H444" i="1"/>
  <c r="F450" i="1"/>
  <c r="G450" i="1"/>
  <c r="H450" i="1"/>
  <c r="H451" i="1" s="1"/>
  <c r="H631" i="1" s="1"/>
  <c r="F451" i="1"/>
  <c r="F460" i="1"/>
  <c r="F466" i="1" s="1"/>
  <c r="H612" i="1" s="1"/>
  <c r="G460" i="1"/>
  <c r="H460" i="1"/>
  <c r="I460" i="1"/>
  <c r="J460" i="1"/>
  <c r="J466" i="1" s="1"/>
  <c r="H616" i="1" s="1"/>
  <c r="F464" i="1"/>
  <c r="G464" i="1"/>
  <c r="G466" i="1" s="1"/>
  <c r="H613" i="1" s="1"/>
  <c r="H464" i="1"/>
  <c r="H466" i="1" s="1"/>
  <c r="H614" i="1" s="1"/>
  <c r="J614" i="1" s="1"/>
  <c r="I464" i="1"/>
  <c r="I466" i="1" s="1"/>
  <c r="H615" i="1" s="1"/>
  <c r="J464" i="1"/>
  <c r="K485" i="1"/>
  <c r="K486" i="1"/>
  <c r="K487" i="1"/>
  <c r="K488" i="1"/>
  <c r="K489" i="1"/>
  <c r="K490" i="1"/>
  <c r="K491" i="1"/>
  <c r="K492" i="1"/>
  <c r="F507" i="1"/>
  <c r="G507" i="1"/>
  <c r="H507" i="1"/>
  <c r="H514" i="1"/>
  <c r="H535" i="1" s="1"/>
  <c r="I514" i="1"/>
  <c r="I535" i="1" s="1"/>
  <c r="J514" i="1"/>
  <c r="J535" i="1" s="1"/>
  <c r="K514" i="1"/>
  <c r="F519" i="1"/>
  <c r="G519" i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35" i="1"/>
  <c r="L547" i="1"/>
  <c r="L548" i="1"/>
  <c r="L549" i="1"/>
  <c r="F550" i="1"/>
  <c r="F561" i="1" s="1"/>
  <c r="G550" i="1"/>
  <c r="H550" i="1"/>
  <c r="I550" i="1"/>
  <c r="J550" i="1"/>
  <c r="K550" i="1"/>
  <c r="K561" i="1" s="1"/>
  <c r="L550" i="1"/>
  <c r="L561" i="1" s="1"/>
  <c r="L552" i="1"/>
  <c r="L555" i="1" s="1"/>
  <c r="L553" i="1"/>
  <c r="L554" i="1"/>
  <c r="F555" i="1"/>
  <c r="G555" i="1"/>
  <c r="G561" i="1" s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H561" i="1"/>
  <c r="I561" i="1"/>
  <c r="J561" i="1"/>
  <c r="I565" i="1"/>
  <c r="I566" i="1"/>
  <c r="I567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H640" i="1" s="1"/>
  <c r="J640" i="1" s="1"/>
  <c r="J588" i="1"/>
  <c r="K592" i="1"/>
  <c r="K595" i="1" s="1"/>
  <c r="G638" i="1" s="1"/>
  <c r="J638" i="1" s="1"/>
  <c r="K593" i="1"/>
  <c r="K594" i="1"/>
  <c r="H595" i="1"/>
  <c r="I595" i="1"/>
  <c r="J595" i="1"/>
  <c r="F604" i="1"/>
  <c r="G604" i="1"/>
  <c r="H604" i="1"/>
  <c r="I604" i="1"/>
  <c r="J604" i="1"/>
  <c r="K604" i="1"/>
  <c r="G609" i="1"/>
  <c r="J609" i="1" s="1"/>
  <c r="G610" i="1"/>
  <c r="G613" i="1"/>
  <c r="G614" i="1"/>
  <c r="G615" i="1"/>
  <c r="J615" i="1" s="1"/>
  <c r="H617" i="1"/>
  <c r="H618" i="1"/>
  <c r="H619" i="1"/>
  <c r="H620" i="1"/>
  <c r="H621" i="1"/>
  <c r="H622" i="1"/>
  <c r="H623" i="1"/>
  <c r="H625" i="1"/>
  <c r="H626" i="1"/>
  <c r="H627" i="1"/>
  <c r="H628" i="1"/>
  <c r="H629" i="1"/>
  <c r="G631" i="1"/>
  <c r="J631" i="1" s="1"/>
  <c r="G633" i="1"/>
  <c r="J633" i="1" s="1"/>
  <c r="G634" i="1"/>
  <c r="H634" i="1"/>
  <c r="J634" i="1"/>
  <c r="G635" i="1"/>
  <c r="J635" i="1" s="1"/>
  <c r="H637" i="1"/>
  <c r="G639" i="1"/>
  <c r="G640" i="1"/>
  <c r="G641" i="1"/>
  <c r="J641" i="1" s="1"/>
  <c r="H641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G23" i="2" l="1"/>
  <c r="J33" i="1"/>
  <c r="J43" i="1"/>
  <c r="C54" i="2"/>
  <c r="C55" i="2" s="1"/>
  <c r="C96" i="2" s="1"/>
  <c r="G55" i="2"/>
  <c r="G96" i="2" s="1"/>
  <c r="J630" i="1"/>
  <c r="K540" i="1"/>
  <c r="H33" i="13"/>
  <c r="C25" i="13"/>
  <c r="G156" i="2"/>
  <c r="L514" i="1"/>
  <c r="L535" i="1" s="1"/>
  <c r="F539" i="1"/>
  <c r="C43" i="2"/>
  <c r="E107" i="2"/>
  <c r="E137" i="2" s="1"/>
  <c r="L249" i="1"/>
  <c r="L263" i="1" s="1"/>
  <c r="G622" i="1" s="1"/>
  <c r="J622" i="1" s="1"/>
  <c r="C32" i="2"/>
  <c r="J185" i="1"/>
  <c r="J608" i="1"/>
  <c r="G32" i="2"/>
  <c r="G43" i="2" s="1"/>
  <c r="C5" i="13"/>
  <c r="G153" i="2"/>
  <c r="F185" i="1"/>
  <c r="G617" i="1" s="1"/>
  <c r="J617" i="1" s="1"/>
  <c r="D96" i="2"/>
  <c r="E136" i="2"/>
  <c r="G654" i="1"/>
  <c r="H650" i="1"/>
  <c r="H654" i="1" s="1"/>
  <c r="J613" i="1"/>
  <c r="I653" i="1"/>
  <c r="F43" i="2"/>
  <c r="C130" i="2"/>
  <c r="C133" i="2" s="1"/>
  <c r="L400" i="1"/>
  <c r="J639" i="1"/>
  <c r="L426" i="1"/>
  <c r="G628" i="1" s="1"/>
  <c r="J628" i="1" s="1"/>
  <c r="F137" i="2"/>
  <c r="H542" i="1"/>
  <c r="G185" i="1"/>
  <c r="G618" i="1" s="1"/>
  <c r="J618" i="1" s="1"/>
  <c r="C101" i="2"/>
  <c r="C17" i="10"/>
  <c r="C35" i="10"/>
  <c r="C115" i="2"/>
  <c r="L282" i="1"/>
  <c r="F650" i="1" s="1"/>
  <c r="C102" i="2"/>
  <c r="G612" i="1"/>
  <c r="J612" i="1" s="1"/>
  <c r="J263" i="1"/>
  <c r="C113" i="2"/>
  <c r="E77" i="2"/>
  <c r="E83" i="2" s="1"/>
  <c r="E96" i="2" s="1"/>
  <c r="L343" i="1"/>
  <c r="F652" i="1"/>
  <c r="I652" i="1" s="1"/>
  <c r="C16" i="10"/>
  <c r="D15" i="13"/>
  <c r="C15" i="13" s="1"/>
  <c r="D6" i="13"/>
  <c r="C6" i="13" s="1"/>
  <c r="E8" i="13"/>
  <c r="I450" i="1"/>
  <c r="C19" i="10"/>
  <c r="H653" i="1"/>
  <c r="I444" i="1"/>
  <c r="F33" i="1"/>
  <c r="F44" i="1" s="1"/>
  <c r="H607" i="1" s="1"/>
  <c r="J607" i="1" s="1"/>
  <c r="C106" i="2"/>
  <c r="I655" i="1"/>
  <c r="C25" i="10"/>
  <c r="F33" i="13"/>
  <c r="D119" i="2"/>
  <c r="D120" i="2" s="1"/>
  <c r="D137" i="2" s="1"/>
  <c r="H651" i="1"/>
  <c r="F22" i="13"/>
  <c r="C22" i="13" s="1"/>
  <c r="C9" i="2"/>
  <c r="C19" i="2" s="1"/>
  <c r="C32" i="10"/>
  <c r="L604" i="1"/>
  <c r="F263" i="1"/>
  <c r="C111" i="2"/>
  <c r="C120" i="2" s="1"/>
  <c r="I432" i="1"/>
  <c r="F651" i="1"/>
  <c r="L354" i="1"/>
  <c r="C10" i="10"/>
  <c r="E13" i="13"/>
  <c r="C13" i="13" s="1"/>
  <c r="L374" i="1"/>
  <c r="G626" i="1" s="1"/>
  <c r="J626" i="1" s="1"/>
  <c r="C123" i="2"/>
  <c r="C136" i="2" s="1"/>
  <c r="I650" i="1" l="1"/>
  <c r="I654" i="1" s="1"/>
  <c r="F654" i="1"/>
  <c r="I438" i="1"/>
  <c r="G632" i="1" s="1"/>
  <c r="J632" i="1" s="1"/>
  <c r="J10" i="1"/>
  <c r="I451" i="1"/>
  <c r="H632" i="1" s="1"/>
  <c r="H657" i="1"/>
  <c r="H662" i="1"/>
  <c r="C6" i="10" s="1"/>
  <c r="D31" i="13"/>
  <c r="C31" i="13" s="1"/>
  <c r="L330" i="1"/>
  <c r="L344" i="1" s="1"/>
  <c r="G623" i="1" s="1"/>
  <c r="J623" i="1" s="1"/>
  <c r="G657" i="1"/>
  <c r="G662" i="1"/>
  <c r="C5" i="10" s="1"/>
  <c r="G616" i="1"/>
  <c r="J616" i="1" s="1"/>
  <c r="J44" i="1"/>
  <c r="H611" i="1" s="1"/>
  <c r="E33" i="13"/>
  <c r="D35" i="13" s="1"/>
  <c r="C8" i="13"/>
  <c r="C36" i="10"/>
  <c r="K539" i="1"/>
  <c r="K542" i="1" s="1"/>
  <c r="F542" i="1"/>
  <c r="G627" i="1"/>
  <c r="J627" i="1" s="1"/>
  <c r="H636" i="1"/>
  <c r="G621" i="1"/>
  <c r="J621" i="1" s="1"/>
  <c r="G636" i="1"/>
  <c r="C28" i="10"/>
  <c r="D10" i="10" s="1"/>
  <c r="C107" i="2"/>
  <c r="C137" i="2" s="1"/>
  <c r="C27" i="10"/>
  <c r="G625" i="1"/>
  <c r="J625" i="1" s="1"/>
  <c r="I651" i="1"/>
  <c r="D17" i="10" l="1"/>
  <c r="D27" i="10"/>
  <c r="D25" i="10"/>
  <c r="C41" i="10"/>
  <c r="D19" i="10"/>
  <c r="D16" i="10"/>
  <c r="D33" i="13"/>
  <c r="D36" i="13" s="1"/>
  <c r="C30" i="10"/>
  <c r="D22" i="10"/>
  <c r="D18" i="10"/>
  <c r="D15" i="10"/>
  <c r="D11" i="10"/>
  <c r="D28" i="10" s="1"/>
  <c r="D20" i="10"/>
  <c r="D23" i="10"/>
  <c r="D21" i="10"/>
  <c r="D12" i="10"/>
  <c r="D13" i="10"/>
  <c r="D24" i="10"/>
  <c r="D26" i="10"/>
  <c r="G10" i="2"/>
  <c r="G19" i="2" s="1"/>
  <c r="J19" i="1"/>
  <c r="G611" i="1" s="1"/>
  <c r="J636" i="1"/>
  <c r="F662" i="1"/>
  <c r="C4" i="10" s="1"/>
  <c r="F657" i="1"/>
  <c r="I662" i="1"/>
  <c r="C7" i="10" s="1"/>
  <c r="I657" i="1"/>
  <c r="J611" i="1" l="1"/>
  <c r="H646" i="1"/>
  <c r="D37" i="10"/>
  <c r="D38" i="10"/>
  <c r="D40" i="10"/>
  <c r="D39" i="10"/>
  <c r="D35" i="10"/>
  <c r="D36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DD27A4C4-6404-4535-8ACF-62C8B1147405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A3BF10F-92EA-4563-924D-8E90F54BED89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0FFE086D-1165-47A1-8C02-F1DF34949173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3121F8B-54BA-4D97-9A79-121D3828BBA3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2709B7D4-B663-496B-AD99-7EB3FB6EC453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9087C4C5-4C32-44CF-A42B-B72CA5933923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E0BCBAE5-2D12-4251-B105-CB2600EB9AE0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8E9B804C-5F67-43E4-976C-9846970B1FCF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57C2D7F4-A056-42F9-8832-788EC83AA0F4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2045A778-615A-472C-AEF8-2475E430521C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93D43521-A47E-434F-BC59-CE3859EF1DEE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72A28253-1B66-4326-AF25-9D600A242A86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<sst xmlns="http://schemas.openxmlformats.org/spreadsheetml/2006/main" count="3868" uniqueCount="903">
  <si>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</si>
  <si>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</si>
  <si>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</si>
  <si>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</si>
  <si>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</si>
  <si>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</si>
  <si>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</si>
  <si>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</si>
  <si>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</si>
  <si>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</si>
  <si>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</si>
  <si>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</si>
  <si>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</si>
  <si>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</si>
  <si>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</si>
  <si>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</si>
  <si>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</si>
  <si>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</si>
  <si>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</si>
  <si>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</si>
  <si>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</si>
  <si>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</si>
  <si>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</si>
  <si>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</si>
  <si>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</si>
  <si>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</si>
  <si>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</si>
  <si>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</si>
  <si>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</si>
  <si>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</si>
  <si>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</si>
  <si>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</si>
  <si>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</si>
  <si>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</si>
  <si>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</si>
  <si>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</si>
  <si>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</si>
  <si>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</si>
  <si>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</si>
  <si>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</si>
  <si>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</si>
  <si>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</si>
  <si>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</si>
  <si>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</si>
  <si>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</si>
  <si>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</si>
  <si>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</si>
  <si>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</si>
  <si>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</si>
  <si>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</si>
  <si>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</si>
  <si>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</si>
  <si>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</si>
  <si>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</si>
  <si>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</si>
  <si>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</si>
  <si>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</si>
  <si>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</si>
  <si>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</si>
  <si>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</si>
  <si>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</si>
  <si>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</si>
  <si>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</si>
  <si>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</si>
  <si>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</si>
  <si>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</si>
  <si>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</si>
  <si>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</si>
  <si>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</si>
  <si>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</si>
  <si>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</si>
  <si>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</si>
  <si>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</si>
  <si>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</si>
  <si>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</si>
  <si>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</si>
  <si>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</si>
  <si>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</si>
  <si>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</si>
  <si>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</si>
  <si>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</si>
  <si>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</si>
  <si>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</si>
  <si>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</si>
  <si>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</si>
  <si>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</si>
  <si>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</si>
  <si>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</si>
  <si>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</si>
  <si>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</si>
  <si>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</si>
  <si>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</si>
  <si>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</si>
  <si>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</si>
  <si>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</si>
  <si>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</si>
  <si>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</si>
  <si>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</si>
  <si>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</si>
  <si>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</si>
  <si>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</si>
  <si>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</si>
  <si>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</si>
  <si>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</si>
  <si>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</si>
  <si>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</si>
  <si>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</si>
  <si>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</si>
  <si>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</si>
  <si>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</si>
  <si>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</si>
  <si>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</si>
  <si>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</si>
  <si>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</si>
  <si>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</si>
  <si>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</si>
  <si>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</si>
  <si>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</si>
  <si>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</si>
  <si>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</si>
  <si>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</si>
  <si>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</si>
  <si>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</si>
  <si>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</si>
  <si>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</si>
  <si>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</si>
  <si>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</si>
  <si>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</si>
  <si>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</si>
  <si>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</si>
  <si>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</si>
  <si>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</si>
  <si>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</si>
  <si>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</si>
  <si>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</si>
  <si>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</si>
  <si>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</si>
  <si>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</si>
  <si>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</si>
  <si>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</si>
  <si>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</si>
  <si>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</si>
  <si>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</si>
  <si>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</si>
  <si>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</si>
  <si>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</si>
  <si>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</si>
  <si>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</si>
  <si>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</si>
  <si>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</si>
  <si>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</si>
  <si>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</si>
  <si>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</si>
  <si>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</si>
  <si>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</si>
  <si>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</si>
  <si>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</si>
  <si>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</si>
  <si>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</si>
  <si>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</si>
  <si>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</si>
  <si>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</si>
  <si>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</si>
  <si>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</si>
  <si>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</si>
  <si>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</si>
  <si>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</si>
  <si>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</si>
  <si>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</si>
  <si>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</si>
  <si>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</si>
  <si>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</si>
  <si>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</si>
  <si>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</si>
  <si>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</si>
  <si>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</si>
  <si>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</si>
  <si>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</si>
  <si>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</si>
  <si>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</si>
  <si>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</si>
  <si>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</si>
  <si>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</si>
  <si>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</si>
  <si>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</si>
  <si>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</si>
  <si>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</si>
  <si>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</si>
  <si>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</si>
  <si>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</si>
  <si>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</si>
  <si>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</si>
  <si>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</si>
  <si>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</si>
  <si>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</si>
  <si>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</si>
  <si>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</si>
  <si>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</si>
  <si>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</si>
  <si>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</si>
  <si>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</si>
  <si>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</si>
  <si>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</si>
  <si>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</si>
  <si>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</si>
  <si>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</si>
  <si>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</si>
  <si>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</si>
  <si>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</si>
  <si>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</si>
  <si>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</si>
  <si>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</si>
  <si>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</si>
  <si>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</si>
  <si>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</si>
  <si>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</si>
  <si>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</si>
  <si>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</si>
  <si>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</si>
  <si>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</si>
  <si>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</si>
  <si>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</si>
  <si>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</si>
  <si>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</si>
  <si>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</si>
  <si>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</si>
  <si>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</si>
  <si>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</si>
  <si>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</si>
  <si>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</si>
  <si>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</si>
  <si>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</si>
  <si>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</si>
  <si>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</si>
  <si>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</si>
  <si>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</si>
  <si>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</si>
  <si>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</si>
  <si>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</si>
  <si>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</si>
  <si>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</si>
  <si>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</si>
  <si>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</si>
  <si>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</si>
  <si>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</si>
  <si>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</si>
  <si>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</si>
  <si>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</si>
  <si>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</si>
  <si>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</si>
  <si>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</si>
  <si>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</si>
  <si>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</si>
  <si>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</si>
  <si>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</si>
  <si>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</si>
  <si>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</si>
  <si>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</si>
  <si>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</si>
  <si>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</si>
  <si>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</si>
  <si>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</si>
  <si>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</si>
  <si>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</si>
  <si>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</si>
  <si>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</si>
  <si>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</si>
  <si>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</si>
  <si>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</si>
  <si>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</si>
  <si>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</si>
  <si>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</si>
  <si>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</si>
  <si>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</si>
  <si>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</si>
  <si>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</si>
  <si>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</si>
  <si>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</si>
  <si>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</si>
  <si>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</si>
  <si>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</si>
  <si>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</si>
  <si>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</si>
  <si>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</si>
  <si>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</si>
  <si>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</si>
  <si>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</si>
  <si>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</si>
  <si>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</si>
  <si>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</si>
  <si>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</si>
  <si>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</si>
  <si>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</si>
  <si>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</si>
  <si>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</si>
  <si>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</si>
  <si>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</si>
  <si>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</si>
  <si>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</si>
  <si>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</si>
  <si>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</si>
  <si>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</si>
  <si>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</si>
  <si>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</si>
  <si>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</si>
  <si>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</si>
  <si>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</si>
  <si>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</si>
  <si>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</si>
  <si>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</si>
  <si>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</si>
  <si>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</si>
  <si>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</si>
  <si>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</si>
  <si>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</si>
  <si>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</si>
  <si>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</si>
  <si>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</si>
  <si>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</si>
  <si>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</si>
  <si>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</si>
  <si>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</si>
  <si>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</si>
  <si>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</si>
  <si>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</si>
  <si>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</si>
  <si>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</si>
  <si>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</si>
  <si>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</si>
  <si>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</si>
  <si>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</si>
  <si>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</si>
  <si>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</si>
  <si>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</si>
  <si>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</si>
  <si>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</si>
  <si>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</si>
  <si>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</si>
  <si>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</si>
  <si>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</si>
  <si>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</si>
  <si>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</si>
  <si>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</si>
  <si>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</si>
  <si>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</si>
  <si>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</si>
  <si>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</si>
  <si>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</si>
  <si>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</si>
  <si>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</si>
  <si>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</si>
  <si>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</si>
  <si>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</si>
  <si>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</si>
  <si>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</si>
  <si>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</si>
  <si>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</si>
  <si>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</si>
  <si>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</si>
  <si>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</si>
  <si>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</si>
  <si>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</si>
  <si>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</si>
  <si>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</si>
  <si>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</si>
  <si>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</si>
  <si>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</si>
  <si>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</si>
  <si>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</si>
  <si>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</si>
  <si>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</si>
  <si>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</si>
  <si>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</si>
  <si>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</si>
  <si>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</si>
  <si>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</si>
  <si>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</si>
  <si>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</si>
  <si>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</si>
  <si>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</si>
  <si>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</si>
  <si>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</si>
  <si>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</si>
  <si>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</si>
  <si>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</si>
  <si>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</si>
  <si>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</si>
  <si>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</si>
  <si>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</si>
  <si>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</si>
  <si>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</si>
  <si>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</si>
  <si>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</si>
  <si>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</si>
  <si>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</si>
  <si>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</si>
  <si>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</si>
  <si>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</si>
  <si>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</si>
  <si>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</si>
  <si>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</si>
  <si>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</si>
  <si>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</si>
  <si>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</si>
  <si>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</si>
  <si>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</si>
  <si>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</si>
  <si>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</si>
  <si>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</si>
  <si>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</si>
  <si>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</si>
  <si>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</si>
  <si>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</si>
  <si>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</si>
  <si>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</si>
  <si>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</si>
  <si>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</si>
  <si>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</si>
  <si>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</si>
  <si>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</si>
  <si>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</si>
  <si>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</si>
  <si>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</si>
  <si>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</si>
  <si>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</si>
  <si>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</si>
  <si>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</si>
  <si>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</si>
  <si>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</si>
  <si>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</si>
  <si>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</si>
  <si>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</si>
  <si>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</si>
  <si>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</si>
  <si>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</si>
  <si>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</si>
  <si>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</si>
  <si>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</si>
  <si>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</si>
  <si>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</si>
  <si>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</si>
  <si>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</si>
  <si>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</si>
  <si>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</si>
  <si>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</si>
  <si>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</si>
  <si>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</si>
  <si>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</si>
  <si>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</si>
  <si>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</si>
  <si>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</si>
  <si>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</si>
  <si>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</si>
  <si>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</si>
  <si>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</si>
  <si>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</si>
  <si>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</si>
  <si>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</si>
  <si>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</si>
  <si>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</si>
  <si>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</si>
  <si>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</si>
  <si>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</si>
  <si>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</si>
  <si>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</si>
  <si>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</si>
  <si>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</si>
  <si>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</si>
  <si>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</si>
  <si>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</si>
  <si>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</si>
  <si>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</si>
  <si>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</si>
  <si>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</si>
  <si>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</si>
  <si>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</si>
  <si>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</si>
  <si>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</si>
  <si>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</si>
  <si>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</si>
  <si>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</si>
  <si>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</si>
  <si>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</si>
  <si>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</si>
  <si>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</si>
  <si>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</si>
  <si>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</si>
  <si>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</si>
  <si>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</si>
  <si>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</si>
  <si>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</si>
  <si>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</si>
  <si>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</si>
  <si>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</si>
  <si>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</si>
  <si>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</si>
  <si>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</si>
  <si>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</si>
  <si>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</si>
  <si>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</si>
  <si>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</si>
  <si>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</si>
  <si>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</si>
  <si>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</si>
  <si>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</si>
  <si>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</si>
  <si>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</si>
  <si>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</si>
  <si>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</si>
  <si>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</si>
  <si>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</si>
  <si>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</si>
  <si>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</si>
  <si>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</si>
  <si>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</si>
  <si>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</si>
  <si>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</si>
  <si>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</si>
  <si>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</si>
  <si>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</si>
  <si>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</si>
  <si>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</si>
  <si>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</si>
  <si>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</si>
  <si>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</si>
  <si>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</si>
  <si>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</si>
  <si>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</si>
  <si>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</si>
  <si>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</si>
  <si>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</si>
  <si>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</si>
  <si>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</si>
  <si>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</si>
  <si>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</si>
  <si>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</si>
  <si>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</si>
  <si>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</si>
  <si>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</si>
  <si>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</si>
  <si>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</si>
  <si>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</si>
  <si>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</si>
  <si>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</si>
  <si>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</si>
  <si>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</si>
  <si>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</si>
  <si>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</si>
  <si>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</si>
  <si>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</si>
  <si>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</si>
  <si>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</si>
  <si>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</si>
  <si>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</si>
  <si>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</si>
  <si>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</si>
  <si>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</si>
  <si>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</si>
  <si>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</si>
  <si>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</si>
  <si>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</si>
  <si>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</si>
  <si>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</si>
  <si>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</si>
  <si>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</si>
  <si>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</si>
  <si>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</si>
  <si>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</si>
  <si>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</si>
  <si>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</si>
  <si>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</si>
  <si>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</si>
  <si>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</si>
  <si>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</si>
  <si>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</si>
  <si>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</si>
  <si>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</si>
  <si>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</si>
  <si>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</si>
  <si>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</si>
  <si>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</si>
  <si>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</si>
  <si>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</si>
  <si>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</si>
  <si>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</si>
  <si>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</si>
  <si>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</si>
  <si>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</si>
  <si>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</si>
  <si>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</si>
  <si>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</si>
  <si>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</si>
  <si>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</si>
  <si>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</si>
  <si>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</si>
  <si>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</si>
  <si>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</si>
  <si>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</si>
  <si>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</si>
  <si>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</si>
  <si>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</si>
  <si>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</si>
  <si>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</si>
  <si>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</si>
  <si>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</si>
  <si>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</si>
  <si>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</si>
  <si>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</si>
  <si>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</si>
  <si>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</si>
  <si>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</si>
  <si>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</si>
  <si>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</si>
  <si>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</si>
  <si>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</si>
  <si>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</si>
  <si>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</si>
  <si>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</si>
  <si>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</si>
  <si>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</si>
  <si>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</si>
  <si>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</si>
  <si>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</si>
  <si>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</si>
  <si>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</si>
  <si>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</si>
  <si>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</si>
  <si>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</si>
  <si>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</si>
  <si>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</si>
  <si>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</si>
  <si>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</si>
  <si>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</si>
  <si>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</si>
  <si>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</si>
  <si>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</si>
  <si>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</si>
  <si>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</si>
  <si>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</si>
  <si>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</si>
  <si>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</si>
  <si>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</si>
  <si>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</si>
  <si>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</si>
  <si>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</si>
  <si>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</si>
  <si>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</si>
  <si>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</si>
  <si>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</si>
  <si>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</si>
  <si>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</si>
  <si>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</si>
  <si>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</si>
  <si>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</si>
  <si>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</si>
  <si>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</si>
  <si>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</si>
  <si>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</si>
  <si>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</si>
  <si>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</si>
  <si>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</si>
  <si>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</si>
  <si>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</si>
  <si>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</si>
  <si>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</si>
  <si>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</si>
  <si>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</si>
  <si>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</si>
  <si>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</si>
  <si>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</si>
  <si>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</si>
  <si>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</si>
  <si>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</si>
  <si>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</si>
  <si>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</si>
  <si>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</si>
  <si>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</si>
  <si>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</si>
  <si>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</si>
  <si>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</si>
  <si>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</si>
  <si>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</si>
  <si>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</si>
  <si>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</si>
  <si>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</si>
  <si>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</si>
  <si>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</si>
  <si>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</si>
  <si>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</si>
  <si>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</si>
  <si>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</si>
  <si>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</si>
  <si>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</si>
  <si>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</si>
  <si>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</si>
  <si>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</si>
  <si>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</si>
  <si>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</si>
  <si>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</si>
  <si>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</si>
  <si>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</si>
  <si>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</si>
  <si>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</si>
  <si>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</si>
  <si>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</si>
  <si>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</si>
  <si>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</si>
  <si>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</si>
  <si>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</si>
  <si>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</si>
  <si>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</si>
  <si>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</si>
  <si>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</si>
  <si>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</si>
  <si>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</si>
  <si>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</si>
  <si>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</si>
  <si>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</si>
  <si>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</si>
  <si>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</si>
  <si>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</si>
  <si>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</si>
  <si>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</si>
  <si>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</si>
  <si>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</si>
  <si>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</si>
  <si>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</si>
  <si>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</si>
  <si>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</si>
  <si>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</si>
  <si>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</si>
  <si>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</si>
  <si>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</si>
  <si>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</si>
  <si>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</si>
  <si>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</si>
  <si>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</si>
  <si>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</si>
  <si>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</si>
  <si>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</si>
  <si>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</si>
  <si>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</si>
  <si>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</si>
  <si>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</si>
  <si>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</si>
  <si>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</si>
  <si>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</si>
  <si>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</si>
  <si>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</si>
  <si>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</si>
  <si>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</si>
  <si>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</si>
  <si>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</si>
  <si>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</si>
  <si>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</si>
  <si>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</si>
  <si>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</si>
  <si>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</si>
  <si>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</si>
  <si>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</si>
  <si>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</si>
  <si>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</si>
  <si>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</si>
  <si>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</si>
  <si>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</si>
  <si>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</si>
  <si>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</si>
  <si>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</si>
  <si>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</si>
  <si>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</si>
  <si>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</si>
  <si>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</si>
  <si>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</si>
  <si>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</si>
  <si>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</si>
  <si>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</si>
  <si>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</si>
  <si>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</si>
  <si>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</si>
  <si>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</si>
  <si>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</si>
  <si>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</si>
  <si>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</si>
  <si>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</si>
  <si>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</si>
  <si>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</si>
  <si>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</si>
  <si>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</si>
  <si>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</si>
  <si>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</si>
  <si>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</si>
  <si>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</si>
  <si>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</si>
  <si>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</si>
  <si>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</si>
  <si>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</si>
  <si>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</si>
  <si>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</si>
  <si>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</si>
  <si>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</si>
  <si>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</si>
  <si>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</si>
  <si>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</si>
  <si>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</si>
  <si>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</si>
  <si>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</si>
  <si>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</si>
  <si>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</si>
  <si>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</si>
  <si>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</si>
  <si>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</si>
  <si>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</si>
  <si>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</si>
  <si>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</si>
  <si>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</si>
  <si>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</si>
  <si>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</si>
  <si>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</si>
  <si>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</si>
  <si>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</si>
  <si>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</si>
  <si>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</si>
  <si>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</si>
  <si>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</si>
  <si>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</si>
  <si>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</si>
  <si>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</si>
  <si>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</si>
  <si>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</si>
  <si>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</si>
  <si>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</si>
  <si>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</si>
  <si>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</si>
  <si>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</si>
  <si>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</si>
  <si>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</si>
  <si>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</si>
  <si>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</si>
  <si>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</si>
  <si>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</si>
  <si>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</si>
  <si>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</si>
  <si>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</si>
  <si>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</si>
  <si>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</si>
  <si>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</si>
  <si>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</si>
  <si>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</si>
  <si>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</si>
  <si>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</si>
  <si>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</si>
  <si>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</si>
  <si>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</si>
  <si>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</si>
  <si>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</si>
  <si>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</si>
  <si>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</si>
  <si>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</si>
  <si>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</si>
  <si>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</si>
  <si>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</si>
  <si>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</si>
  <si>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</si>
  <si>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</si>
  <si>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</si>
  <si>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</si>
  <si>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</si>
  <si>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</si>
  <si>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</si>
  <si>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</si>
  <si>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</si>
  <si>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</si>
  <si>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</si>
  <si>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</si>
  <si>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</si>
  <si>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</si>
  <si>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</si>
  <si>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</si>
  <si>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</si>
  <si>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</si>
  <si>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</si>
  <si>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</si>
  <si>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</si>
  <si>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</si>
  <si>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</si>
  <si>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</si>
  <si>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</si>
  <si>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</si>
  <si>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</si>
  <si>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</si>
  <si>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</si>
  <si>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</si>
  <si>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</si>
  <si>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</si>
  <si>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Private Purpose Trusts (Scholarships)</t>
  </si>
  <si>
    <t>Permanent Funds</t>
  </si>
  <si>
    <t>11/02</t>
  </si>
  <si>
    <t>7/05</t>
  </si>
  <si>
    <t>7/06</t>
  </si>
  <si>
    <t>11/12</t>
  </si>
  <si>
    <t>8/15</t>
  </si>
  <si>
    <t>8/21</t>
  </si>
  <si>
    <t>Jaffrey-Rindge Cooperative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</si>
</sst>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8FA09-7005-4B9E-8CCB-4CCEE131CAF9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902</v>
      </c>
      <c r="B2" s="21">
        <v>274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69105.97+787814.42+4000</f>
        <v>860920.39</v>
      </c>
      <c r="G9" s="18">
        <v>1567.05</v>
      </c>
      <c r="H9" s="18"/>
      <c r="I9" s="18">
        <v>190278.19</v>
      </c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2452711.7399999998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97142.06</v>
      </c>
      <c r="G12" s="18">
        <v>30502.02</v>
      </c>
      <c r="H12" s="18">
        <v>693.95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1478</v>
      </c>
      <c r="G13" s="18">
        <v>15941.32</v>
      </c>
      <c r="H13" s="18">
        <v>130767.97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10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34646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>
        <v>10500</v>
      </c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1004696.45</v>
      </c>
      <c r="G19" s="41">
        <f>SUM(G9:G18)</f>
        <v>48010.39</v>
      </c>
      <c r="H19" s="41">
        <f>SUM(H9:H18)</f>
        <v>131461.92000000001</v>
      </c>
      <c r="I19" s="41">
        <f>SUM(I9:I18)</f>
        <v>190278.19</v>
      </c>
      <c r="J19" s="41">
        <f>SUM(J9:J18)</f>
        <v>2452711.7399999998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128298.44</v>
      </c>
      <c r="I23" s="18">
        <v>39.590000000000003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>
        <v>2469.5300000000002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122594.65</v>
      </c>
      <c r="G25" s="18">
        <v>165</v>
      </c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8">
        <v>38571.81</v>
      </c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27998.57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f>2141.89+2227.03+9506.37</f>
        <v>13875.29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>
        <v>8790.07</v>
      </c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164468.51</v>
      </c>
      <c r="G33" s="41">
        <f>SUM(G23:G32)</f>
        <v>47526.879999999997</v>
      </c>
      <c r="H33" s="41">
        <f>SUM(H23:H32)</f>
        <v>130767.97</v>
      </c>
      <c r="I33" s="41">
        <f>SUM(I23:I32)</f>
        <v>39.590000000000003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3654.5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>
        <v>177689.37</v>
      </c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100000</v>
      </c>
      <c r="G41" s="18">
        <v>483.51</v>
      </c>
      <c r="H41" s="18">
        <v>693.95</v>
      </c>
      <c r="I41" s="18">
        <v>190238.6</v>
      </c>
      <c r="J41" s="13">
        <f>SUM(I449)</f>
        <v>2452711.7399999998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558884.06999999995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840227.94</v>
      </c>
      <c r="G43" s="41">
        <f>SUM(G35:G42)</f>
        <v>483.51</v>
      </c>
      <c r="H43" s="41">
        <f>SUM(H35:H42)</f>
        <v>693.95</v>
      </c>
      <c r="I43" s="41">
        <f>SUM(I35:I42)</f>
        <v>190238.6</v>
      </c>
      <c r="J43" s="41">
        <f>SUM(J35:J42)</f>
        <v>2452711.7399999998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1004696.45</v>
      </c>
      <c r="G44" s="41">
        <f>G43+G33</f>
        <v>48010.39</v>
      </c>
      <c r="H44" s="41">
        <f>H43+H33</f>
        <v>131461.92000000001</v>
      </c>
      <c r="I44" s="41">
        <f>I43+I33</f>
        <v>190278.19</v>
      </c>
      <c r="J44" s="41">
        <f>J43+J33</f>
        <v>2452711.7399999998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12436543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12436543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14612.5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>
        <v>1050</v>
      </c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1847.5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17510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3621.47</v>
      </c>
      <c r="G88" s="18"/>
      <c r="H88" s="18"/>
      <c r="I88" s="18"/>
      <c r="J88" s="18">
        <f>40942.37+29090.32</f>
        <v>70032.69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323717.7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2640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110815.57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117077.04000000001</v>
      </c>
      <c r="G103" s="41">
        <f>SUM(G88:G102)</f>
        <v>323717.7</v>
      </c>
      <c r="H103" s="41">
        <f>SUM(H88:H102)</f>
        <v>0</v>
      </c>
      <c r="I103" s="41">
        <f>SUM(I88:I102)</f>
        <v>0</v>
      </c>
      <c r="J103" s="41">
        <f>SUM(J88:J102)</f>
        <v>70032.69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12571130.039999999</v>
      </c>
      <c r="G104" s="41">
        <f>G52+G103</f>
        <v>323717.7</v>
      </c>
      <c r="H104" s="41">
        <f>H52+H71+H86+H103</f>
        <v>0</v>
      </c>
      <c r="I104" s="41">
        <f>I52+I103</f>
        <v>0</v>
      </c>
      <c r="J104" s="41">
        <f>J52+J103</f>
        <v>70032.69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3740372.57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2366339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1435065.43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7541777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434456.18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186947.20000000001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9576.9599999999991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>
        <v>7217.47</v>
      </c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7351.85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9300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640280.34</v>
      </c>
      <c r="G128" s="41">
        <f>SUM(G115:G127)</f>
        <v>7351.85</v>
      </c>
      <c r="H128" s="41">
        <f>SUM(H115:H127)</f>
        <v>7217.47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8182057.3399999999</v>
      </c>
      <c r="G132" s="41">
        <f>G113+SUM(G128:G129)</f>
        <v>7351.85</v>
      </c>
      <c r="H132" s="41">
        <f>H113+SUM(H128:H131)</f>
        <v>7217.47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>
        <v>952.91</v>
      </c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952.91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380897.89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168387.48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240066.04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505109.06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88873.78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88873.78</v>
      </c>
      <c r="G154" s="41">
        <f>SUM(G142:G153)</f>
        <v>240066.04</v>
      </c>
      <c r="H154" s="41">
        <f>SUM(H142:H153)</f>
        <v>1054394.43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89826.69</v>
      </c>
      <c r="G161" s="41">
        <f>G139+G154+SUM(G155:G160)</f>
        <v>240066.04</v>
      </c>
      <c r="H161" s="41">
        <f>H139+H154+SUM(H155:H160)</f>
        <v>1054394.43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45000</v>
      </c>
      <c r="H171" s="18"/>
      <c r="I171" s="18"/>
      <c r="J171" s="18">
        <v>125000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>
        <v>13732.22</v>
      </c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13732.22</v>
      </c>
      <c r="G175" s="41">
        <f>SUM(G171:G174)</f>
        <v>45000</v>
      </c>
      <c r="H175" s="41">
        <f>SUM(H171:H174)</f>
        <v>0</v>
      </c>
      <c r="I175" s="41">
        <f>SUM(I171:I174)</f>
        <v>0</v>
      </c>
      <c r="J175" s="41">
        <f>SUM(J171:J174)</f>
        <v>125000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13732.22</v>
      </c>
      <c r="G184" s="41">
        <f>G175+SUM(G180:G183)</f>
        <v>45000</v>
      </c>
      <c r="H184" s="41">
        <f>+H175+SUM(H180:H183)</f>
        <v>0</v>
      </c>
      <c r="I184" s="41">
        <f>I169+I175+SUM(I180:I183)</f>
        <v>0</v>
      </c>
      <c r="J184" s="41">
        <f>J175</f>
        <v>125000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20856746.289999999</v>
      </c>
      <c r="G185" s="47">
        <f>G104+G132+G161+G184</f>
        <v>616135.59</v>
      </c>
      <c r="H185" s="47">
        <f>H104+H132+H161+H184</f>
        <v>1061611.8999999999</v>
      </c>
      <c r="I185" s="47">
        <f>I104+I132+I161+I184</f>
        <v>0</v>
      </c>
      <c r="J185" s="47">
        <f>J104+J132+J184</f>
        <v>195032.69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2569940.7400000002</v>
      </c>
      <c r="G189" s="18">
        <v>772483.4</v>
      </c>
      <c r="H189" s="18">
        <v>25075.89</v>
      </c>
      <c r="I189" s="18">
        <v>86652.65</v>
      </c>
      <c r="J189" s="18">
        <v>8679.4500000000007</v>
      </c>
      <c r="K189" s="18"/>
      <c r="L189" s="19">
        <f>SUM(F189:K189)</f>
        <v>3462832.1300000004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1119745.42</v>
      </c>
      <c r="G190" s="18">
        <v>482270.82</v>
      </c>
      <c r="H190" s="18">
        <v>197717.7</v>
      </c>
      <c r="I190" s="18">
        <v>20938.48</v>
      </c>
      <c r="J190" s="18">
        <v>2064.66</v>
      </c>
      <c r="K190" s="18">
        <v>31066.19</v>
      </c>
      <c r="L190" s="19">
        <f>SUM(F190:K190)</f>
        <v>1853803.2699999998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59537.09</v>
      </c>
      <c r="G192" s="18">
        <v>8914.7000000000007</v>
      </c>
      <c r="H192" s="18"/>
      <c r="I192" s="18">
        <v>710.93</v>
      </c>
      <c r="J192" s="18"/>
      <c r="K192" s="18">
        <v>345</v>
      </c>
      <c r="L192" s="19">
        <f>SUM(F192:K192)</f>
        <v>69507.719999999987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360947.28</v>
      </c>
      <c r="G194" s="18">
        <v>158859.26</v>
      </c>
      <c r="H194" s="18">
        <v>9248.56</v>
      </c>
      <c r="I194" s="18">
        <v>6561.1</v>
      </c>
      <c r="J194" s="18"/>
      <c r="K194" s="18"/>
      <c r="L194" s="19">
        <f t="shared" ref="L194:L200" si="0">SUM(F194:K194)</f>
        <v>535616.20000000007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179844.68</v>
      </c>
      <c r="G195" s="18">
        <v>26226.03</v>
      </c>
      <c r="H195" s="18">
        <v>23243.11</v>
      </c>
      <c r="I195" s="18">
        <v>24302.38</v>
      </c>
      <c r="J195" s="18">
        <v>107.64</v>
      </c>
      <c r="K195" s="18">
        <v>3235.64</v>
      </c>
      <c r="L195" s="19">
        <f t="shared" si="0"/>
        <v>256959.48000000004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80957.7</v>
      </c>
      <c r="G196" s="18">
        <v>17255.509999999998</v>
      </c>
      <c r="H196" s="18">
        <v>39425.019999999997</v>
      </c>
      <c r="I196" s="18">
        <v>809.91</v>
      </c>
      <c r="J196" s="18"/>
      <c r="K196" s="18">
        <v>4495.18</v>
      </c>
      <c r="L196" s="19">
        <f t="shared" si="0"/>
        <v>142943.31999999998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305639.98</v>
      </c>
      <c r="G197" s="18">
        <v>137465.60999999999</v>
      </c>
      <c r="H197" s="18">
        <v>4610.29</v>
      </c>
      <c r="I197" s="18">
        <v>1889.06</v>
      </c>
      <c r="J197" s="18">
        <v>7039.71</v>
      </c>
      <c r="K197" s="18">
        <v>1518</v>
      </c>
      <c r="L197" s="19">
        <f t="shared" si="0"/>
        <v>458162.64999999997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92587.98</v>
      </c>
      <c r="G198" s="18">
        <v>46782.98</v>
      </c>
      <c r="H198" s="18">
        <v>40675.879999999997</v>
      </c>
      <c r="I198" s="18">
        <v>12722.25</v>
      </c>
      <c r="J198" s="18">
        <v>1854.83</v>
      </c>
      <c r="K198" s="18">
        <v>2692.84</v>
      </c>
      <c r="L198" s="19">
        <f t="shared" si="0"/>
        <v>197316.75999999998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280111.71000000002</v>
      </c>
      <c r="G199" s="18">
        <v>144040.28</v>
      </c>
      <c r="H199" s="18">
        <v>253438.47</v>
      </c>
      <c r="I199" s="18">
        <v>201147.06</v>
      </c>
      <c r="J199" s="18">
        <v>4316.96</v>
      </c>
      <c r="K199" s="18">
        <v>114.08</v>
      </c>
      <c r="L199" s="19">
        <f t="shared" si="0"/>
        <v>883168.55999999994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424342.45</v>
      </c>
      <c r="I200" s="18">
        <v>46896.47</v>
      </c>
      <c r="J200" s="18"/>
      <c r="K200" s="18"/>
      <c r="L200" s="19">
        <f t="shared" si="0"/>
        <v>471238.92000000004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57372.14</v>
      </c>
      <c r="G201" s="18">
        <v>16364.75</v>
      </c>
      <c r="H201" s="18">
        <v>67425.429999999993</v>
      </c>
      <c r="I201" s="18">
        <v>52119.35</v>
      </c>
      <c r="J201" s="18">
        <v>29294.38</v>
      </c>
      <c r="K201" s="18"/>
      <c r="L201" s="19">
        <f>SUM(F201:K201)</f>
        <v>222576.05000000002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5106684.7200000007</v>
      </c>
      <c r="G203" s="41">
        <f t="shared" si="1"/>
        <v>1810663.34</v>
      </c>
      <c r="H203" s="41">
        <f t="shared" si="1"/>
        <v>1085202.8</v>
      </c>
      <c r="I203" s="41">
        <f t="shared" si="1"/>
        <v>454749.6399999999</v>
      </c>
      <c r="J203" s="41">
        <f t="shared" si="1"/>
        <v>53357.630000000005</v>
      </c>
      <c r="K203" s="41">
        <f t="shared" si="1"/>
        <v>43466.930000000008</v>
      </c>
      <c r="L203" s="41">
        <f t="shared" si="1"/>
        <v>8554125.0600000005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1111049.05</v>
      </c>
      <c r="G207" s="18">
        <v>442576.92</v>
      </c>
      <c r="H207" s="18">
        <v>11716.38</v>
      </c>
      <c r="I207" s="18">
        <v>50106.69</v>
      </c>
      <c r="J207" s="18">
        <v>21545.18</v>
      </c>
      <c r="K207" s="18">
        <v>104</v>
      </c>
      <c r="L207" s="19">
        <f>SUM(F207:K207)</f>
        <v>1637098.2199999997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579195.02</v>
      </c>
      <c r="G208" s="18">
        <v>262667.88</v>
      </c>
      <c r="H208" s="18">
        <v>83816.39</v>
      </c>
      <c r="I208" s="18">
        <v>17243.28</v>
      </c>
      <c r="J208" s="18">
        <v>570.66999999999996</v>
      </c>
      <c r="K208" s="18">
        <v>31158.58</v>
      </c>
      <c r="L208" s="19">
        <f>SUM(F208:K208)</f>
        <v>974651.82000000007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132065.5</v>
      </c>
      <c r="G209" s="18">
        <v>41218.19</v>
      </c>
      <c r="H209" s="18">
        <v>555.9</v>
      </c>
      <c r="I209" s="18">
        <v>12003.75</v>
      </c>
      <c r="J209" s="18">
        <v>1810.45</v>
      </c>
      <c r="K209" s="18"/>
      <c r="L209" s="19">
        <f>SUM(F209:K209)</f>
        <v>187653.79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34047.160000000003</v>
      </c>
      <c r="G210" s="18">
        <v>4479.3900000000003</v>
      </c>
      <c r="H210" s="18">
        <v>5481.08</v>
      </c>
      <c r="I210" s="18">
        <v>5071.2299999999996</v>
      </c>
      <c r="J210" s="18">
        <v>859</v>
      </c>
      <c r="K210" s="18">
        <v>1379</v>
      </c>
      <c r="L210" s="19">
        <f>SUM(F210:K210)</f>
        <v>51316.86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268348.78999999998</v>
      </c>
      <c r="G212" s="18">
        <v>85662.85</v>
      </c>
      <c r="H212" s="18">
        <v>8745.2199999999993</v>
      </c>
      <c r="I212" s="18">
        <v>2979.86</v>
      </c>
      <c r="J212" s="18"/>
      <c r="K212" s="18">
        <v>40</v>
      </c>
      <c r="L212" s="19">
        <f t="shared" ref="L212:L218" si="2">SUM(F212:K212)</f>
        <v>365776.72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89031.26</v>
      </c>
      <c r="G213" s="18">
        <v>25974.47</v>
      </c>
      <c r="H213" s="18">
        <v>11110.52</v>
      </c>
      <c r="I213" s="18">
        <v>14249.6</v>
      </c>
      <c r="J213" s="18">
        <v>1252.75</v>
      </c>
      <c r="K213" s="18">
        <v>1547.48</v>
      </c>
      <c r="L213" s="19">
        <f t="shared" si="2"/>
        <v>143166.08000000002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38718.9</v>
      </c>
      <c r="G214" s="18">
        <v>8252.64</v>
      </c>
      <c r="H214" s="18">
        <v>18855.43</v>
      </c>
      <c r="I214" s="18">
        <v>387.35</v>
      </c>
      <c r="J214" s="18"/>
      <c r="K214" s="18">
        <v>2149.87</v>
      </c>
      <c r="L214" s="19">
        <f t="shared" si="2"/>
        <v>68364.19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212545.19</v>
      </c>
      <c r="G215" s="18">
        <v>77597.81</v>
      </c>
      <c r="H215" s="18">
        <v>6091.72</v>
      </c>
      <c r="I215" s="18">
        <v>1752.76</v>
      </c>
      <c r="J215" s="18">
        <v>1507.99</v>
      </c>
      <c r="K215" s="18">
        <v>1434</v>
      </c>
      <c r="L215" s="19">
        <f t="shared" si="2"/>
        <v>300929.46999999997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44281.2</v>
      </c>
      <c r="G216" s="18">
        <v>22374.47</v>
      </c>
      <c r="H216" s="18">
        <v>19453.7</v>
      </c>
      <c r="I216" s="18">
        <v>6084.54</v>
      </c>
      <c r="J216" s="18">
        <v>887.08</v>
      </c>
      <c r="K216" s="18">
        <v>1287.8800000000001</v>
      </c>
      <c r="L216" s="19">
        <f t="shared" si="2"/>
        <v>94368.87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139027.25</v>
      </c>
      <c r="G217" s="18">
        <v>53532.2</v>
      </c>
      <c r="H217" s="18">
        <v>110755.38</v>
      </c>
      <c r="I217" s="18">
        <v>151395.64000000001</v>
      </c>
      <c r="J217" s="18">
        <v>2064.64</v>
      </c>
      <c r="K217" s="18">
        <v>54.56</v>
      </c>
      <c r="L217" s="19">
        <f t="shared" si="2"/>
        <v>456829.67000000004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v>172246.05</v>
      </c>
      <c r="I218" s="18">
        <v>22428.75</v>
      </c>
      <c r="J218" s="18"/>
      <c r="K218" s="18"/>
      <c r="L218" s="19">
        <f t="shared" si="2"/>
        <v>194674.8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>
        <v>27438.85</v>
      </c>
      <c r="G219" s="18">
        <v>7826.61</v>
      </c>
      <c r="H219" s="18">
        <v>32246.93</v>
      </c>
      <c r="I219" s="18">
        <v>26867.01</v>
      </c>
      <c r="J219" s="18">
        <v>18569.2</v>
      </c>
      <c r="K219" s="18"/>
      <c r="L219" s="19">
        <f>SUM(F219:K219)</f>
        <v>112948.59999999999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2675748.17</v>
      </c>
      <c r="G221" s="41">
        <f>SUM(G207:G220)</f>
        <v>1032163.4299999998</v>
      </c>
      <c r="H221" s="41">
        <f>SUM(H207:H220)</f>
        <v>481074.7</v>
      </c>
      <c r="I221" s="41">
        <f>SUM(I207:I220)</f>
        <v>310570.46000000002</v>
      </c>
      <c r="J221" s="41">
        <f>SUM(J207:J220)</f>
        <v>49066.960000000006</v>
      </c>
      <c r="K221" s="41">
        <f t="shared" si="3"/>
        <v>39155.370000000003</v>
      </c>
      <c r="L221" s="41">
        <f t="shared" si="3"/>
        <v>4587779.09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1473052.76</v>
      </c>
      <c r="G225" s="18">
        <v>559549.22</v>
      </c>
      <c r="H225" s="18">
        <v>24742.47</v>
      </c>
      <c r="I225" s="18">
        <v>111644.03</v>
      </c>
      <c r="J225" s="18">
        <v>18149.43</v>
      </c>
      <c r="K225" s="18">
        <v>3130</v>
      </c>
      <c r="L225" s="19">
        <f>SUM(F225:K225)</f>
        <v>2190267.91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751326.21</v>
      </c>
      <c r="G226" s="18">
        <v>253441.59</v>
      </c>
      <c r="H226" s="18">
        <v>476286.41</v>
      </c>
      <c r="I226" s="18">
        <v>15810.35</v>
      </c>
      <c r="J226" s="18">
        <v>1908.53</v>
      </c>
      <c r="K226" s="18">
        <v>31032.59</v>
      </c>
      <c r="L226" s="19">
        <f>SUM(F226:K226)</f>
        <v>1529805.6800000002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176335.91</v>
      </c>
      <c r="G227" s="18">
        <v>71312.639999999999</v>
      </c>
      <c r="H227" s="18">
        <v>63486.71</v>
      </c>
      <c r="I227" s="18">
        <v>24986</v>
      </c>
      <c r="J227" s="18">
        <v>6943.3</v>
      </c>
      <c r="K227" s="18"/>
      <c r="L227" s="19">
        <f>SUM(F227:K227)</f>
        <v>343064.56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82993.59</v>
      </c>
      <c r="G228" s="18">
        <v>9750.48</v>
      </c>
      <c r="H228" s="18">
        <v>29774.240000000002</v>
      </c>
      <c r="I228" s="18">
        <v>16577.63</v>
      </c>
      <c r="J228" s="18">
        <v>4423.99</v>
      </c>
      <c r="K228" s="18">
        <v>6770</v>
      </c>
      <c r="L228" s="19">
        <f>SUM(F228:K228)</f>
        <v>150289.93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400201.24</v>
      </c>
      <c r="G230" s="18">
        <v>110363.79</v>
      </c>
      <c r="H230" s="18">
        <v>10093.73</v>
      </c>
      <c r="I230" s="18">
        <v>7811.48</v>
      </c>
      <c r="J230" s="18">
        <v>243.5</v>
      </c>
      <c r="K230" s="18"/>
      <c r="L230" s="19">
        <f t="shared" ref="L230:L236" si="4">SUM(F230:K230)</f>
        <v>528713.74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117245.87</v>
      </c>
      <c r="G231" s="18">
        <v>34603.129999999997</v>
      </c>
      <c r="H231" s="18">
        <v>16209.98</v>
      </c>
      <c r="I231" s="18">
        <v>19112.72</v>
      </c>
      <c r="J231" s="18">
        <v>74.88</v>
      </c>
      <c r="K231" s="18">
        <v>2250.88</v>
      </c>
      <c r="L231" s="19">
        <f t="shared" si="4"/>
        <v>189497.46000000002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56318.400000000001</v>
      </c>
      <c r="G232" s="18">
        <v>12003.83</v>
      </c>
      <c r="H232" s="18">
        <v>27426.09</v>
      </c>
      <c r="I232" s="18">
        <v>563.41999999999996</v>
      </c>
      <c r="J232" s="18"/>
      <c r="K232" s="18">
        <v>3127.07</v>
      </c>
      <c r="L232" s="19">
        <f t="shared" si="4"/>
        <v>99438.81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236152.12</v>
      </c>
      <c r="G233" s="18">
        <v>72197.47</v>
      </c>
      <c r="H233" s="18">
        <v>7634.39</v>
      </c>
      <c r="I233" s="18">
        <v>764.86</v>
      </c>
      <c r="J233" s="18">
        <v>3415.61</v>
      </c>
      <c r="K233" s="18">
        <v>2058</v>
      </c>
      <c r="L233" s="19">
        <f t="shared" si="4"/>
        <v>322222.44999999995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64409.03</v>
      </c>
      <c r="G234" s="18">
        <v>32544.69</v>
      </c>
      <c r="H234" s="18">
        <v>30517.06</v>
      </c>
      <c r="I234" s="18">
        <v>8850.26</v>
      </c>
      <c r="J234" s="18">
        <v>1290.32</v>
      </c>
      <c r="K234" s="18">
        <v>1873.28</v>
      </c>
      <c r="L234" s="19">
        <f t="shared" si="4"/>
        <v>139484.64000000001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167597.42000000001</v>
      </c>
      <c r="G235" s="18">
        <v>77912.960000000006</v>
      </c>
      <c r="H235" s="18">
        <v>184870.85</v>
      </c>
      <c r="I235" s="18">
        <v>161553.97</v>
      </c>
      <c r="J235" s="18">
        <v>3003.1</v>
      </c>
      <c r="K235" s="18">
        <v>79.36</v>
      </c>
      <c r="L235" s="19">
        <f t="shared" si="4"/>
        <v>595017.65999999992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488010.6</v>
      </c>
      <c r="I236" s="18">
        <v>32623.63</v>
      </c>
      <c r="J236" s="18"/>
      <c r="K236" s="18"/>
      <c r="L236" s="19">
        <f t="shared" si="4"/>
        <v>520634.23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>
        <v>39911.06</v>
      </c>
      <c r="G237" s="18">
        <v>11384.16</v>
      </c>
      <c r="H237" s="18">
        <v>46904.639999999999</v>
      </c>
      <c r="I237" s="18">
        <v>44502.97</v>
      </c>
      <c r="J237" s="18">
        <v>62659.66</v>
      </c>
      <c r="K237" s="18"/>
      <c r="L237" s="19">
        <f>SUM(F237:K237)</f>
        <v>205362.49000000002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3565543.61</v>
      </c>
      <c r="G239" s="41">
        <f t="shared" si="5"/>
        <v>1245063.9599999997</v>
      </c>
      <c r="H239" s="41">
        <f t="shared" si="5"/>
        <v>1405957.1699999997</v>
      </c>
      <c r="I239" s="41">
        <f t="shared" si="5"/>
        <v>444801.32000000007</v>
      </c>
      <c r="J239" s="41">
        <f t="shared" si="5"/>
        <v>102112.32000000001</v>
      </c>
      <c r="K239" s="41">
        <f t="shared" si="5"/>
        <v>50321.179999999993</v>
      </c>
      <c r="L239" s="41">
        <f t="shared" si="5"/>
        <v>6813799.5600000005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109300</v>
      </c>
      <c r="I247" s="18"/>
      <c r="J247" s="18">
        <v>188510.63</v>
      </c>
      <c r="K247" s="18"/>
      <c r="L247" s="19">
        <f t="shared" si="6"/>
        <v>297810.63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109300</v>
      </c>
      <c r="I248" s="41">
        <f t="shared" si="7"/>
        <v>0</v>
      </c>
      <c r="J248" s="41">
        <f t="shared" si="7"/>
        <v>188510.63</v>
      </c>
      <c r="K248" s="41">
        <f t="shared" si="7"/>
        <v>0</v>
      </c>
      <c r="L248" s="41">
        <f>SUM(F248:K248)</f>
        <v>297810.63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11347976.5</v>
      </c>
      <c r="G249" s="41">
        <f t="shared" si="8"/>
        <v>4087890.7299999995</v>
      </c>
      <c r="H249" s="41">
        <f t="shared" si="8"/>
        <v>3081534.67</v>
      </c>
      <c r="I249" s="41">
        <f t="shared" si="8"/>
        <v>1210121.42</v>
      </c>
      <c r="J249" s="41">
        <f t="shared" si="8"/>
        <v>393047.54000000004</v>
      </c>
      <c r="K249" s="41">
        <f t="shared" si="8"/>
        <v>132943.48000000001</v>
      </c>
      <c r="L249" s="41">
        <f t="shared" si="8"/>
        <v>20253514.34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815000</v>
      </c>
      <c r="L252" s="19">
        <f>SUM(F252:K252)</f>
        <v>815000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400330</v>
      </c>
      <c r="L253" s="19">
        <f>SUM(F253:K253)</f>
        <v>400330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45000</v>
      </c>
      <c r="L255" s="19">
        <f>SUM(F255:K255)</f>
        <v>45000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125000</v>
      </c>
      <c r="L258" s="19">
        <f t="shared" si="9"/>
        <v>125000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1385330</v>
      </c>
      <c r="L262" s="41">
        <f t="shared" si="9"/>
        <v>1385330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11347976.5</v>
      </c>
      <c r="G263" s="42">
        <f t="shared" si="11"/>
        <v>4087890.7299999995</v>
      </c>
      <c r="H263" s="42">
        <f t="shared" si="11"/>
        <v>3081534.67</v>
      </c>
      <c r="I263" s="42">
        <f t="shared" si="11"/>
        <v>1210121.42</v>
      </c>
      <c r="J263" s="42">
        <f t="shared" si="11"/>
        <v>393047.54000000004</v>
      </c>
      <c r="K263" s="42">
        <f t="shared" si="11"/>
        <v>1518273.48</v>
      </c>
      <c r="L263" s="42">
        <f t="shared" si="11"/>
        <v>21638844.34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231085.45</v>
      </c>
      <c r="G268" s="18">
        <v>76392.27</v>
      </c>
      <c r="H268" s="18">
        <v>3961.86</v>
      </c>
      <c r="I268" s="18">
        <v>8547.5400000000009</v>
      </c>
      <c r="J268" s="18">
        <v>22293.66</v>
      </c>
      <c r="K268" s="18"/>
      <c r="L268" s="19">
        <f>SUM(F268:K268)</f>
        <v>342280.77999999997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86580.68</v>
      </c>
      <c r="G269" s="18">
        <v>18119.5</v>
      </c>
      <c r="H269" s="18"/>
      <c r="I269" s="18"/>
      <c r="J269" s="18"/>
      <c r="K269" s="18"/>
      <c r="L269" s="19">
        <f>SUM(F269:K269)</f>
        <v>104700.18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v>16919.34</v>
      </c>
      <c r="G271" s="18">
        <v>2403.7800000000002</v>
      </c>
      <c r="H271" s="18">
        <v>1753.92</v>
      </c>
      <c r="I271" s="18"/>
      <c r="J271" s="18"/>
      <c r="K271" s="18"/>
      <c r="L271" s="19">
        <f>SUM(F271:K271)</f>
        <v>21077.040000000001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72453.72</v>
      </c>
      <c r="G273" s="18">
        <v>14892.06</v>
      </c>
      <c r="H273" s="18">
        <v>511.75</v>
      </c>
      <c r="I273" s="18">
        <v>1593.77</v>
      </c>
      <c r="J273" s="18"/>
      <c r="K273" s="18">
        <v>52.9</v>
      </c>
      <c r="L273" s="19">
        <f t="shared" ref="L273:L279" si="12">SUM(F273:K273)</f>
        <v>89504.2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66169.08</v>
      </c>
      <c r="G274" s="18">
        <v>10168.31</v>
      </c>
      <c r="H274" s="18">
        <v>17644.7</v>
      </c>
      <c r="I274" s="18"/>
      <c r="J274" s="18">
        <v>4383.71</v>
      </c>
      <c r="K274" s="18"/>
      <c r="L274" s="19">
        <f t="shared" si="12"/>
        <v>98365.8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>
        <v>89.45</v>
      </c>
      <c r="I280" s="18"/>
      <c r="J280" s="18"/>
      <c r="K280" s="18"/>
      <c r="L280" s="19">
        <f>SUM(F280:K280)</f>
        <v>89.45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473208.27000000008</v>
      </c>
      <c r="G282" s="42">
        <f t="shared" si="13"/>
        <v>121975.92</v>
      </c>
      <c r="H282" s="42">
        <f t="shared" si="13"/>
        <v>23961.680000000004</v>
      </c>
      <c r="I282" s="42">
        <f t="shared" si="13"/>
        <v>10141.310000000001</v>
      </c>
      <c r="J282" s="42">
        <f t="shared" si="13"/>
        <v>26677.37</v>
      </c>
      <c r="K282" s="42">
        <f t="shared" si="13"/>
        <v>52.9</v>
      </c>
      <c r="L282" s="41">
        <f t="shared" si="13"/>
        <v>656017.44999999995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9287.08</v>
      </c>
      <c r="G287" s="18">
        <v>4192.7</v>
      </c>
      <c r="H287" s="18"/>
      <c r="I287" s="18">
        <v>417.91</v>
      </c>
      <c r="J287" s="18">
        <v>6998.7</v>
      </c>
      <c r="K287" s="18"/>
      <c r="L287" s="19">
        <f>SUM(F287:K287)</f>
        <v>20896.39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23915.54</v>
      </c>
      <c r="G288" s="18">
        <v>3915.58</v>
      </c>
      <c r="H288" s="18"/>
      <c r="I288" s="18"/>
      <c r="J288" s="18"/>
      <c r="K288" s="18"/>
      <c r="L288" s="19">
        <f>SUM(F288:K288)</f>
        <v>27831.120000000003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>
        <v>13316.8</v>
      </c>
      <c r="G289" s="18">
        <v>5004.6499999999996</v>
      </c>
      <c r="H289" s="18"/>
      <c r="I289" s="18"/>
      <c r="J289" s="18"/>
      <c r="K289" s="18"/>
      <c r="L289" s="19">
        <f>SUM(F289:K289)</f>
        <v>18321.449999999997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v>22943.94</v>
      </c>
      <c r="G292" s="18">
        <v>4398</v>
      </c>
      <c r="H292" s="18">
        <v>1712.55</v>
      </c>
      <c r="I292" s="18"/>
      <c r="J292" s="18"/>
      <c r="K292" s="18">
        <v>25.3</v>
      </c>
      <c r="L292" s="19">
        <f t="shared" ref="L292:L298" si="14">SUM(F292:K292)</f>
        <v>29079.789999999997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24317.71</v>
      </c>
      <c r="G293" s="18">
        <v>3744.03</v>
      </c>
      <c r="H293" s="18">
        <v>4417.33</v>
      </c>
      <c r="I293" s="18"/>
      <c r="J293" s="18">
        <v>2096.56</v>
      </c>
      <c r="K293" s="18"/>
      <c r="L293" s="19">
        <f t="shared" si="14"/>
        <v>34575.629999999997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93781.07</v>
      </c>
      <c r="G301" s="42">
        <f t="shared" si="15"/>
        <v>21254.959999999999</v>
      </c>
      <c r="H301" s="42">
        <f t="shared" si="15"/>
        <v>6129.88</v>
      </c>
      <c r="I301" s="42">
        <f t="shared" si="15"/>
        <v>417.91</v>
      </c>
      <c r="J301" s="42">
        <f t="shared" si="15"/>
        <v>9095.26</v>
      </c>
      <c r="K301" s="42">
        <f t="shared" si="15"/>
        <v>25.3</v>
      </c>
      <c r="L301" s="41">
        <f t="shared" si="15"/>
        <v>130704.37999999998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13508.48</v>
      </c>
      <c r="G306" s="18">
        <v>6098.41</v>
      </c>
      <c r="H306" s="18"/>
      <c r="I306" s="18">
        <v>607.87</v>
      </c>
      <c r="J306" s="18">
        <v>10179.91</v>
      </c>
      <c r="K306" s="18"/>
      <c r="L306" s="19">
        <f>SUM(F306:K306)</f>
        <v>30394.67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72750.240000000005</v>
      </c>
      <c r="G307" s="18">
        <v>11533.69</v>
      </c>
      <c r="H307" s="18"/>
      <c r="I307" s="18">
        <v>4505.43</v>
      </c>
      <c r="J307" s="18">
        <v>9534.06</v>
      </c>
      <c r="K307" s="18"/>
      <c r="L307" s="19">
        <f>SUM(F307:K307)</f>
        <v>98323.420000000013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>
        <v>19163.2</v>
      </c>
      <c r="G308" s="18">
        <v>7201.82</v>
      </c>
      <c r="H308" s="18"/>
      <c r="I308" s="18"/>
      <c r="J308" s="18"/>
      <c r="K308" s="18"/>
      <c r="L308" s="19">
        <f>SUM(F308:K308)</f>
        <v>26365.02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2600</v>
      </c>
      <c r="G309" s="18">
        <v>382.02</v>
      </c>
      <c r="H309" s="18"/>
      <c r="I309" s="18"/>
      <c r="J309" s="18"/>
      <c r="K309" s="18"/>
      <c r="L309" s="19">
        <f>SUM(F309:K309)</f>
        <v>2982.02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>
        <v>33372.99</v>
      </c>
      <c r="G311" s="18">
        <v>6397.12</v>
      </c>
      <c r="H311" s="18">
        <v>2468.1999999999998</v>
      </c>
      <c r="I311" s="18"/>
      <c r="J311" s="18"/>
      <c r="K311" s="18">
        <v>36.799999999999997</v>
      </c>
      <c r="L311" s="19">
        <f t="shared" ref="L311:L317" si="16">SUM(F311:K311)</f>
        <v>42275.11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35371.21</v>
      </c>
      <c r="G312" s="18">
        <v>5445.96</v>
      </c>
      <c r="H312" s="18">
        <v>6425.21</v>
      </c>
      <c r="I312" s="18"/>
      <c r="J312" s="18">
        <v>3049.54</v>
      </c>
      <c r="K312" s="18"/>
      <c r="L312" s="19">
        <f t="shared" si="16"/>
        <v>50291.92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176766.12</v>
      </c>
      <c r="G320" s="42">
        <f t="shared" si="17"/>
        <v>37059.019999999997</v>
      </c>
      <c r="H320" s="42">
        <f t="shared" si="17"/>
        <v>8893.41</v>
      </c>
      <c r="I320" s="42">
        <f t="shared" si="17"/>
        <v>5113.3</v>
      </c>
      <c r="J320" s="42">
        <f t="shared" si="17"/>
        <v>22763.510000000002</v>
      </c>
      <c r="K320" s="42">
        <f t="shared" si="17"/>
        <v>36.799999999999997</v>
      </c>
      <c r="L320" s="41">
        <f t="shared" si="17"/>
        <v>250632.15999999997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>
        <v>1731.6</v>
      </c>
      <c r="G324" s="18">
        <v>137.5</v>
      </c>
      <c r="H324" s="18">
        <v>1195</v>
      </c>
      <c r="I324" s="18">
        <v>494.92</v>
      </c>
      <c r="J324" s="18"/>
      <c r="K324" s="18"/>
      <c r="L324" s="19">
        <f t="shared" ref="L324:L329" si="18">SUM(F324:K324)</f>
        <v>3559.02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>
        <v>6405.71</v>
      </c>
      <c r="G325" s="18">
        <v>396.21</v>
      </c>
      <c r="H325" s="18"/>
      <c r="I325" s="18">
        <v>164.75</v>
      </c>
      <c r="J325" s="18"/>
      <c r="K325" s="18"/>
      <c r="L325" s="19">
        <f t="shared" si="18"/>
        <v>6966.67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8137.3099999999995</v>
      </c>
      <c r="G329" s="41">
        <f t="shared" si="19"/>
        <v>533.71</v>
      </c>
      <c r="H329" s="41">
        <f t="shared" si="19"/>
        <v>1195</v>
      </c>
      <c r="I329" s="41">
        <f t="shared" si="19"/>
        <v>659.67000000000007</v>
      </c>
      <c r="J329" s="41">
        <f t="shared" si="19"/>
        <v>0</v>
      </c>
      <c r="K329" s="41">
        <f t="shared" si="19"/>
        <v>0</v>
      </c>
      <c r="L329" s="41">
        <f t="shared" si="18"/>
        <v>10525.69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751892.77000000014</v>
      </c>
      <c r="G330" s="41">
        <f t="shared" si="20"/>
        <v>180823.61</v>
      </c>
      <c r="H330" s="41">
        <f t="shared" si="20"/>
        <v>40179.97</v>
      </c>
      <c r="I330" s="41">
        <f t="shared" si="20"/>
        <v>16332.19</v>
      </c>
      <c r="J330" s="41">
        <f t="shared" si="20"/>
        <v>58536.14</v>
      </c>
      <c r="K330" s="41">
        <f t="shared" si="20"/>
        <v>115</v>
      </c>
      <c r="L330" s="41">
        <f t="shared" si="20"/>
        <v>1047879.6799999999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v>13732.22</v>
      </c>
      <c r="L336" s="19">
        <f t="shared" ref="L336:L342" si="21">SUM(F336:K336)</f>
        <v>13732.22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13732.22</v>
      </c>
      <c r="L343" s="41">
        <f>SUM(L333:L342)</f>
        <v>13732.22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751892.77000000014</v>
      </c>
      <c r="G344" s="41">
        <f>G330</f>
        <v>180823.61</v>
      </c>
      <c r="H344" s="41">
        <f>H330</f>
        <v>40179.97</v>
      </c>
      <c r="I344" s="41">
        <f>I330</f>
        <v>16332.19</v>
      </c>
      <c r="J344" s="41">
        <f>J330</f>
        <v>58536.14</v>
      </c>
      <c r="K344" s="47">
        <f>K330+K343</f>
        <v>13847.22</v>
      </c>
      <c r="L344" s="41">
        <f>L330+L343</f>
        <v>1061611.8999999999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1875.13</v>
      </c>
      <c r="G350" s="18">
        <v>143.44999999999999</v>
      </c>
      <c r="H350" s="18">
        <v>279123.98</v>
      </c>
      <c r="I350" s="18">
        <v>1051.8900000000001</v>
      </c>
      <c r="J350" s="18">
        <v>908.32</v>
      </c>
      <c r="K350" s="18">
        <v>297.29000000000002</v>
      </c>
      <c r="L350" s="13">
        <f>SUM(F350:K350)</f>
        <v>283400.06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896.8</v>
      </c>
      <c r="G351" s="18">
        <v>68.599999999999994</v>
      </c>
      <c r="H351" s="18">
        <v>133494.09</v>
      </c>
      <c r="I351" s="18">
        <v>503.08</v>
      </c>
      <c r="J351" s="18">
        <v>434.41</v>
      </c>
      <c r="K351" s="18">
        <v>142.18</v>
      </c>
      <c r="L351" s="19">
        <f>SUM(F351:K351)</f>
        <v>135539.15999999997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1304.44</v>
      </c>
      <c r="G352" s="18">
        <v>99.79</v>
      </c>
      <c r="H352" s="18">
        <v>194173.2</v>
      </c>
      <c r="I352" s="18">
        <v>731.75</v>
      </c>
      <c r="J352" s="18">
        <v>631.87</v>
      </c>
      <c r="K352" s="18">
        <v>206.81</v>
      </c>
      <c r="L352" s="19">
        <f>SUM(F352:K352)</f>
        <v>197147.86000000002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4076.3700000000003</v>
      </c>
      <c r="G354" s="47">
        <f t="shared" si="22"/>
        <v>311.83999999999997</v>
      </c>
      <c r="H354" s="47">
        <f t="shared" si="22"/>
        <v>606791.27</v>
      </c>
      <c r="I354" s="47">
        <f t="shared" si="22"/>
        <v>2286.7200000000003</v>
      </c>
      <c r="J354" s="47">
        <f t="shared" si="22"/>
        <v>1974.6</v>
      </c>
      <c r="K354" s="47">
        <f t="shared" si="22"/>
        <v>646.28</v>
      </c>
      <c r="L354" s="47">
        <f t="shared" si="22"/>
        <v>616087.07999999996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1051.8900000000001</v>
      </c>
      <c r="G360" s="63">
        <v>503.08</v>
      </c>
      <c r="H360" s="63">
        <v>731.75</v>
      </c>
      <c r="I360" s="56">
        <f>SUM(F360:H360)</f>
        <v>2286.7200000000003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1051.8900000000001</v>
      </c>
      <c r="G361" s="47">
        <f>SUM(G359:G360)</f>
        <v>503.08</v>
      </c>
      <c r="H361" s="47">
        <f>SUM(H359:H360)</f>
        <v>731.75</v>
      </c>
      <c r="I361" s="47">
        <f>SUM(I359:I360)</f>
        <v>2286.7200000000003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272</v>
      </c>
      <c r="I368" s="18"/>
      <c r="J368" s="18"/>
      <c r="K368" s="18"/>
      <c r="L368" s="13">
        <f t="shared" si="23"/>
        <v>272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v>154064.28</v>
      </c>
      <c r="I371" s="18"/>
      <c r="J371" s="18">
        <v>40981.300000000003</v>
      </c>
      <c r="K371" s="18"/>
      <c r="L371" s="13">
        <f t="shared" si="23"/>
        <v>195045.58000000002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>
        <v>68220</v>
      </c>
      <c r="K372" s="18">
        <v>1559.47</v>
      </c>
      <c r="L372" s="13">
        <f t="shared" si="23"/>
        <v>69779.47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154336.28</v>
      </c>
      <c r="I374" s="41">
        <f t="shared" si="24"/>
        <v>0</v>
      </c>
      <c r="J374" s="47">
        <f t="shared" si="24"/>
        <v>109201.3</v>
      </c>
      <c r="K374" s="47">
        <f t="shared" si="24"/>
        <v>1559.47</v>
      </c>
      <c r="L374" s="47">
        <f t="shared" si="24"/>
        <v>265097.05000000005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>
        <v>1747.32</v>
      </c>
      <c r="I380" s="18"/>
      <c r="J380" s="24" t="s">
        <v>312</v>
      </c>
      <c r="K380" s="24" t="s">
        <v>312</v>
      </c>
      <c r="L380" s="56">
        <f t="shared" si="25"/>
        <v>1747.32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>
        <v>4102.34</v>
      </c>
      <c r="I381" s="18"/>
      <c r="J381" s="24" t="s">
        <v>312</v>
      </c>
      <c r="K381" s="24" t="s">
        <v>312</v>
      </c>
      <c r="L381" s="56">
        <f t="shared" si="25"/>
        <v>4102.34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>
        <v>36.97</v>
      </c>
      <c r="I384" s="18"/>
      <c r="J384" s="24" t="s">
        <v>312</v>
      </c>
      <c r="K384" s="24" t="s">
        <v>312</v>
      </c>
      <c r="L384" s="56">
        <f t="shared" si="25"/>
        <v>36.97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5886.63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5886.63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89.85</v>
      </c>
      <c r="I388" s="18"/>
      <c r="J388" s="24" t="s">
        <v>312</v>
      </c>
      <c r="K388" s="24" t="s">
        <v>312</v>
      </c>
      <c r="L388" s="56">
        <f t="shared" si="26"/>
        <v>89.85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753.46</v>
      </c>
      <c r="I389" s="18"/>
      <c r="J389" s="24" t="s">
        <v>312</v>
      </c>
      <c r="K389" s="24" t="s">
        <v>312</v>
      </c>
      <c r="L389" s="56">
        <f t="shared" si="26"/>
        <v>753.46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>
        <v>125000</v>
      </c>
      <c r="H392" s="18">
        <v>46361.97</v>
      </c>
      <c r="I392" s="18"/>
      <c r="J392" s="24" t="s">
        <v>312</v>
      </c>
      <c r="K392" s="24" t="s">
        <v>312</v>
      </c>
      <c r="L392" s="56">
        <f t="shared" si="26"/>
        <v>171361.97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125000</v>
      </c>
      <c r="H393" s="47">
        <f>SUM(H387:H392)</f>
        <v>47205.279999999999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172205.28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 t="s">
        <v>894</v>
      </c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>
        <v>15946.39</v>
      </c>
      <c r="I395" s="18"/>
      <c r="J395" s="24" t="s">
        <v>312</v>
      </c>
      <c r="K395" s="24" t="s">
        <v>312</v>
      </c>
      <c r="L395" s="56">
        <f>SUM(F395:K395)</f>
        <v>15946.39</v>
      </c>
      <c r="M395" s="8"/>
    </row>
    <row r="396" spans="1:13" s="3" customFormat="1" ht="12" customHeight="1" x14ac:dyDescent="0.15">
      <c r="A396" s="110" t="s">
        <v>895</v>
      </c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>
        <v>994.39</v>
      </c>
      <c r="I396" s="18"/>
      <c r="J396" s="24" t="s">
        <v>312</v>
      </c>
      <c r="K396" s="24" t="s">
        <v>312</v>
      </c>
      <c r="L396" s="56">
        <f>SUM(F396:K396)</f>
        <v>994.39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16940.78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16940.78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125000</v>
      </c>
      <c r="H400" s="47">
        <f>H385+H393+H399</f>
        <v>70032.69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195032.69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>
        <v>1747.25</v>
      </c>
      <c r="I406" s="18"/>
      <c r="J406" s="18"/>
      <c r="K406" s="18"/>
      <c r="L406" s="56">
        <f t="shared" si="27"/>
        <v>1747.25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>
        <v>19102.18</v>
      </c>
      <c r="I407" s="18">
        <v>5550</v>
      </c>
      <c r="J407" s="18"/>
      <c r="K407" s="18"/>
      <c r="L407" s="56">
        <f t="shared" si="27"/>
        <v>24652.18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>
        <f>35.56+3000</f>
        <v>3035.56</v>
      </c>
      <c r="I410" s="18"/>
      <c r="J410" s="18"/>
      <c r="K410" s="18"/>
      <c r="L410" s="56">
        <f t="shared" si="27"/>
        <v>3035.56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23884.99</v>
      </c>
      <c r="I411" s="139">
        <f t="shared" si="28"/>
        <v>5550</v>
      </c>
      <c r="J411" s="139">
        <f t="shared" si="28"/>
        <v>0</v>
      </c>
      <c r="K411" s="139">
        <f t="shared" si="28"/>
        <v>0</v>
      </c>
      <c r="L411" s="47">
        <f t="shared" si="28"/>
        <v>29434.99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>
        <v>2023.22</v>
      </c>
      <c r="I414" s="18"/>
      <c r="J414" s="18"/>
      <c r="K414" s="18"/>
      <c r="L414" s="56">
        <f t="shared" si="29"/>
        <v>2023.22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>
        <v>753.43</v>
      </c>
      <c r="I415" s="18"/>
      <c r="J415" s="18"/>
      <c r="K415" s="18"/>
      <c r="L415" s="56">
        <f t="shared" si="29"/>
        <v>753.43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>
        <v>131532.43</v>
      </c>
      <c r="G418" s="18">
        <v>19914.009999999998</v>
      </c>
      <c r="H418" s="18">
        <v>8021.18</v>
      </c>
      <c r="I418" s="18"/>
      <c r="J418" s="18">
        <v>1850</v>
      </c>
      <c r="K418" s="18"/>
      <c r="L418" s="56">
        <f t="shared" si="29"/>
        <v>161317.62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131532.43</v>
      </c>
      <c r="G419" s="47">
        <f t="shared" si="30"/>
        <v>19914.009999999998</v>
      </c>
      <c r="H419" s="47">
        <f t="shared" si="30"/>
        <v>10797.83</v>
      </c>
      <c r="I419" s="47">
        <f t="shared" si="30"/>
        <v>0</v>
      </c>
      <c r="J419" s="47">
        <f t="shared" si="30"/>
        <v>1850</v>
      </c>
      <c r="K419" s="47">
        <f t="shared" si="30"/>
        <v>0</v>
      </c>
      <c r="L419" s="47">
        <f t="shared" si="30"/>
        <v>164094.26999999999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 t="s">
        <v>894</v>
      </c>
      <c r="B421" s="6">
        <v>17</v>
      </c>
      <c r="C421" s="6">
        <v>15</v>
      </c>
      <c r="D421" s="2" t="s">
        <v>456</v>
      </c>
      <c r="E421" s="6"/>
      <c r="F421" s="18"/>
      <c r="G421" s="18"/>
      <c r="H421" s="18">
        <v>7531.05</v>
      </c>
      <c r="I421" s="18"/>
      <c r="J421" s="18"/>
      <c r="K421" s="18"/>
      <c r="L421" s="56">
        <f>SUM(F421:K421)</f>
        <v>7531.05</v>
      </c>
      <c r="M421" s="8"/>
    </row>
    <row r="422" spans="1:21" s="11" customFormat="1" ht="12" customHeight="1" x14ac:dyDescent="0.15">
      <c r="A422" s="110" t="s">
        <v>895</v>
      </c>
      <c r="B422" s="6">
        <v>17</v>
      </c>
      <c r="C422" s="6">
        <v>16</v>
      </c>
      <c r="D422" s="2" t="s">
        <v>456</v>
      </c>
      <c r="E422" s="6"/>
      <c r="F422" s="18"/>
      <c r="G422" s="18"/>
      <c r="H422" s="18">
        <v>124.86</v>
      </c>
      <c r="I422" s="18"/>
      <c r="J422" s="18"/>
      <c r="K422" s="18"/>
      <c r="L422" s="56">
        <f>SUM(F422:K422)</f>
        <v>124.86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7655.91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7655.91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131532.43</v>
      </c>
      <c r="G426" s="47">
        <f t="shared" si="32"/>
        <v>19914.009999999998</v>
      </c>
      <c r="H426" s="47">
        <f t="shared" si="32"/>
        <v>42338.729999999996</v>
      </c>
      <c r="I426" s="47">
        <f t="shared" si="32"/>
        <v>5550</v>
      </c>
      <c r="J426" s="47">
        <f t="shared" si="32"/>
        <v>1850</v>
      </c>
      <c r="K426" s="47">
        <f t="shared" si="32"/>
        <v>0</v>
      </c>
      <c r="L426" s="47">
        <f t="shared" si="32"/>
        <v>201185.16999999998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786549.81</v>
      </c>
      <c r="G432" s="18">
        <f>1370094.32</f>
        <v>1370094.32</v>
      </c>
      <c r="H432" s="18">
        <f>264828.93+31238.68</f>
        <v>296067.61</v>
      </c>
      <c r="I432" s="56">
        <f t="shared" si="33"/>
        <v>2452711.7399999998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786549.81</v>
      </c>
      <c r="G438" s="13">
        <f>SUM(G431:G437)</f>
        <v>1370094.32</v>
      </c>
      <c r="H438" s="13">
        <f>SUM(H431:H437)</f>
        <v>296067.61</v>
      </c>
      <c r="I438" s="13">
        <f>SUM(I431:I437)</f>
        <v>2452711.7399999998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786549.81</v>
      </c>
      <c r="G449" s="18">
        <v>1370094.32</v>
      </c>
      <c r="H449" s="18">
        <v>296067.61</v>
      </c>
      <c r="I449" s="56">
        <f>SUM(F449:H449)</f>
        <v>2452711.7399999998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786549.81</v>
      </c>
      <c r="G450" s="83">
        <f>SUM(G446:G449)</f>
        <v>1370094.32</v>
      </c>
      <c r="H450" s="83">
        <f>SUM(H446:H449)</f>
        <v>296067.61</v>
      </c>
      <c r="I450" s="83">
        <f>SUM(I446:I449)</f>
        <v>2452711.7399999998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786549.81</v>
      </c>
      <c r="G451" s="42">
        <f>G444+G450</f>
        <v>1370094.32</v>
      </c>
      <c r="H451" s="42">
        <f>H444+H450</f>
        <v>296067.61</v>
      </c>
      <c r="I451" s="42">
        <f>I444+I450</f>
        <v>2452711.7399999998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1622325.99</v>
      </c>
      <c r="G455" s="18">
        <v>435</v>
      </c>
      <c r="H455" s="18">
        <v>693.95</v>
      </c>
      <c r="I455" s="18">
        <v>455335.65</v>
      </c>
      <c r="J455" s="18">
        <v>2458864.2200000002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20856746.289999999</v>
      </c>
      <c r="G458" s="18">
        <v>616135.59</v>
      </c>
      <c r="H458" s="18">
        <v>1061611.8999999999</v>
      </c>
      <c r="I458" s="18">
        <v>0</v>
      </c>
      <c r="J458" s="18">
        <v>195032.69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20856746.289999999</v>
      </c>
      <c r="G460" s="53">
        <f>SUM(G458:G459)</f>
        <v>616135.59</v>
      </c>
      <c r="H460" s="53">
        <f>SUM(H458:H459)</f>
        <v>1061611.8999999999</v>
      </c>
      <c r="I460" s="53">
        <f>SUM(I458:I459)</f>
        <v>0</v>
      </c>
      <c r="J460" s="53">
        <f>SUM(J458:J459)</f>
        <v>195032.69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21638844.34</v>
      </c>
      <c r="G462" s="18">
        <v>616087.07999999996</v>
      </c>
      <c r="H462" s="18">
        <v>1061611.8999999999</v>
      </c>
      <c r="I462" s="18">
        <v>265097.05</v>
      </c>
      <c r="J462" s="18">
        <v>201185.17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21638844.34</v>
      </c>
      <c r="G464" s="53">
        <f>SUM(G462:G463)</f>
        <v>616087.07999999996</v>
      </c>
      <c r="H464" s="53">
        <f>SUM(H462:H463)</f>
        <v>1061611.8999999999</v>
      </c>
      <c r="I464" s="53">
        <f>SUM(I462:I463)</f>
        <v>265097.05</v>
      </c>
      <c r="J464" s="53">
        <f>SUM(J462:J463)</f>
        <v>201185.17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840227.93999999762</v>
      </c>
      <c r="G466" s="53">
        <f>(G455+G460)- G464</f>
        <v>483.51000000000931</v>
      </c>
      <c r="H466" s="53">
        <f>(H455+H460)- H464</f>
        <v>693.94999999995343</v>
      </c>
      <c r="I466" s="53">
        <f>(I455+I460)- I464</f>
        <v>190238.60000000003</v>
      </c>
      <c r="J466" s="53">
        <f>(J455+J460)- J464</f>
        <v>2452711.7400000002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>
        <v>10</v>
      </c>
      <c r="H480" s="154">
        <v>15</v>
      </c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896</v>
      </c>
      <c r="G481" s="155" t="s">
        <v>897</v>
      </c>
      <c r="H481" s="155" t="s">
        <v>898</v>
      </c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899</v>
      </c>
      <c r="G482" s="155" t="s">
        <v>900</v>
      </c>
      <c r="H482" s="155" t="s">
        <v>901</v>
      </c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1300000</v>
      </c>
      <c r="G483" s="18">
        <v>631625</v>
      </c>
      <c r="H483" s="18">
        <v>9247684</v>
      </c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3.4</v>
      </c>
      <c r="G484" s="18">
        <v>5</v>
      </c>
      <c r="H484" s="18">
        <v>5</v>
      </c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520000</v>
      </c>
      <c r="G485" s="18">
        <v>435000</v>
      </c>
      <c r="H485" s="18">
        <v>8005000</v>
      </c>
      <c r="I485" s="18"/>
      <c r="J485" s="18"/>
      <c r="K485" s="53">
        <f>SUM(F485:J485)</f>
        <v>8960000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>
        <v>0</v>
      </c>
      <c r="H486" s="18">
        <v>0</v>
      </c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130000</v>
      </c>
      <c r="G487" s="18">
        <v>65000</v>
      </c>
      <c r="H487" s="18">
        <v>620000</v>
      </c>
      <c r="I487" s="18"/>
      <c r="J487" s="18"/>
      <c r="K487" s="53">
        <f t="shared" si="34"/>
        <v>815000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390000</v>
      </c>
      <c r="G488" s="205">
        <v>370000</v>
      </c>
      <c r="H488" s="205">
        <v>7385000</v>
      </c>
      <c r="I488" s="205"/>
      <c r="J488" s="205"/>
      <c r="K488" s="206">
        <f t="shared" si="34"/>
        <v>8145000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22490</v>
      </c>
      <c r="G489" s="18">
        <v>54500</v>
      </c>
      <c r="H489" s="18">
        <v>2111856.2599999998</v>
      </c>
      <c r="I489" s="18"/>
      <c r="J489" s="18"/>
      <c r="K489" s="53">
        <f t="shared" si="34"/>
        <v>2188846.2599999998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412490</v>
      </c>
      <c r="G490" s="42">
        <f>SUM(G488:G489)</f>
        <v>424500</v>
      </c>
      <c r="H490" s="42">
        <f>SUM(H488:H489)</f>
        <v>9496856.2599999998</v>
      </c>
      <c r="I490" s="42">
        <f>SUM(I488:I489)</f>
        <v>0</v>
      </c>
      <c r="J490" s="42">
        <f>SUM(J488:J489)</f>
        <v>0</v>
      </c>
      <c r="K490" s="42">
        <f t="shared" si="34"/>
        <v>10333846.26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130000</v>
      </c>
      <c r="G491" s="205">
        <v>65000</v>
      </c>
      <c r="H491" s="205">
        <v>620000</v>
      </c>
      <c r="I491" s="205"/>
      <c r="J491" s="205"/>
      <c r="K491" s="206">
        <f t="shared" si="34"/>
        <v>815000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12415</v>
      </c>
      <c r="G492" s="18">
        <v>16875</v>
      </c>
      <c r="H492" s="18">
        <v>335275</v>
      </c>
      <c r="I492" s="18"/>
      <c r="J492" s="18"/>
      <c r="K492" s="53">
        <f t="shared" si="34"/>
        <v>364565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142415</v>
      </c>
      <c r="G493" s="42">
        <f>SUM(G491:G492)</f>
        <v>81875</v>
      </c>
      <c r="H493" s="42">
        <f>SUM(H491:H492)</f>
        <v>955275</v>
      </c>
      <c r="I493" s="42">
        <f>SUM(I491:I492)</f>
        <v>0</v>
      </c>
      <c r="J493" s="42">
        <f>SUM(J491:J492)</f>
        <v>0</v>
      </c>
      <c r="K493" s="42">
        <f t="shared" si="34"/>
        <v>1179565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1458049</v>
      </c>
      <c r="G497" s="144">
        <v>32408.01</v>
      </c>
      <c r="H497" s="144"/>
      <c r="I497" s="144">
        <v>1490457.01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>
        <v>325000</v>
      </c>
      <c r="G501" s="24" t="s">
        <v>312</v>
      </c>
      <c r="H501" s="18">
        <v>505000</v>
      </c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>
        <v>0</v>
      </c>
      <c r="G502" s="24" t="s">
        <v>312</v>
      </c>
      <c r="H502" s="18">
        <v>124300</v>
      </c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>
        <v>23617424.719999999</v>
      </c>
      <c r="G503" s="24" t="s">
        <v>312</v>
      </c>
      <c r="H503" s="18">
        <v>24008073.52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>
        <f>868334.75+65918</f>
        <v>934252.75</v>
      </c>
      <c r="G504" s="24" t="s">
        <v>312</v>
      </c>
      <c r="H504" s="18">
        <f>873659.75+65918</f>
        <v>939577.75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>
        <v>0</v>
      </c>
      <c r="G505" s="24" t="s">
        <v>312</v>
      </c>
      <c r="H505" s="18">
        <v>0</v>
      </c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>
        <f>325000+24551677.47</f>
        <v>24876677.469999999</v>
      </c>
      <c r="H506" s="24" t="s">
        <v>312</v>
      </c>
      <c r="I506" s="18">
        <f>505000+25071951.27</f>
        <v>25576951.27</v>
      </c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24876677.469999999</v>
      </c>
      <c r="G507" s="42">
        <f>SUM(G501:G506)</f>
        <v>24876677.469999999</v>
      </c>
      <c r="H507" s="42">
        <f>SUM(H501:H506)</f>
        <v>25576951.27</v>
      </c>
      <c r="I507" s="42">
        <f>SUM(I501:I506)</f>
        <v>25576951.27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1065493.55+51201.22+38307.06-0.01</f>
        <v>1155001.82</v>
      </c>
      <c r="G511" s="18">
        <f>456444.79+8362.85+10069.88</f>
        <v>474877.51999999996</v>
      </c>
      <c r="H511" s="18">
        <v>196302.74</v>
      </c>
      <c r="I511" s="18">
        <f>16948.8+494.92</f>
        <v>17443.719999999998</v>
      </c>
      <c r="J511" s="18">
        <f>1598.49</f>
        <v>1598.49</v>
      </c>
      <c r="K511" s="18"/>
      <c r="L511" s="88">
        <f>SUM(F511:K511)</f>
        <v>1845224.29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510344.64+24487.54</f>
        <v>534832.18000000005</v>
      </c>
      <c r="G512" s="18">
        <f>238599.06+3999.62</f>
        <v>242598.68</v>
      </c>
      <c r="H512" s="18">
        <v>83139.67</v>
      </c>
      <c r="I512" s="18">
        <v>15343.16</v>
      </c>
      <c r="J512" s="18">
        <v>301</v>
      </c>
      <c r="K512" s="18"/>
      <c r="L512" s="88">
        <f>SUM(F512:K512)</f>
        <v>876214.69000000018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680028.09+35618.24+70444</f>
        <v>786090.33</v>
      </c>
      <c r="G513" s="18">
        <f>227433.49+5817.64+18044.77</f>
        <v>251295.9</v>
      </c>
      <c r="H513" s="18">
        <v>469302.09</v>
      </c>
      <c r="I513" s="18">
        <f>13034.93+4505.43</f>
        <v>17540.36</v>
      </c>
      <c r="J513" s="18">
        <f>1557+9534.06</f>
        <v>11091.06</v>
      </c>
      <c r="K513" s="18"/>
      <c r="L513" s="88">
        <f>SUM(F513:K513)</f>
        <v>1535319.7400000002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2475924.33</v>
      </c>
      <c r="G514" s="108">
        <f t="shared" ref="G514:L514" si="35">SUM(G511:G513)</f>
        <v>968772.1</v>
      </c>
      <c r="H514" s="108">
        <f t="shared" si="35"/>
        <v>748744.5</v>
      </c>
      <c r="I514" s="108">
        <f t="shared" si="35"/>
        <v>50327.24</v>
      </c>
      <c r="J514" s="108">
        <f t="shared" si="35"/>
        <v>12990.55</v>
      </c>
      <c r="K514" s="108">
        <f t="shared" si="35"/>
        <v>0</v>
      </c>
      <c r="L514" s="89">
        <f t="shared" si="35"/>
        <v>4256758.7200000007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154520.01+82884.53</f>
        <v>237404.54</v>
      </c>
      <c r="G516" s="18">
        <f>57080.66+14594.13</f>
        <v>71674.790000000008</v>
      </c>
      <c r="H516" s="18">
        <f>8374.58+579.03+9520.95</f>
        <v>18474.560000000001</v>
      </c>
      <c r="I516" s="18">
        <v>5384.67</v>
      </c>
      <c r="J516" s="18"/>
      <c r="K516" s="18">
        <v>704.72</v>
      </c>
      <c r="L516" s="88">
        <f>SUM(F516:K516)</f>
        <v>333643.27999999997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153306.32+39640.43</f>
        <v>192946.75</v>
      </c>
      <c r="G517" s="18">
        <f>56772.8+6979.8</f>
        <v>63752.600000000006</v>
      </c>
      <c r="H517" s="18">
        <f>8374.58+276.93</f>
        <v>8651.51</v>
      </c>
      <c r="I517" s="18">
        <v>3225.01</v>
      </c>
      <c r="J517" s="18"/>
      <c r="K517" s="18">
        <v>337.04</v>
      </c>
      <c r="L517" s="88">
        <f>SUM(F517:K517)</f>
        <v>268912.90999999997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162158.3+57658.8</f>
        <v>219817.09999999998</v>
      </c>
      <c r="G518" s="18">
        <f>59049.14+10152.44</f>
        <v>69201.58</v>
      </c>
      <c r="H518" s="18">
        <f>8374.6+402.8</f>
        <v>8777.4</v>
      </c>
      <c r="I518" s="18">
        <v>3611.01</v>
      </c>
      <c r="J518" s="18"/>
      <c r="K518" s="18">
        <v>490.24</v>
      </c>
      <c r="L518" s="88">
        <f>SUM(F518:K518)</f>
        <v>301897.33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650168.39</v>
      </c>
      <c r="G519" s="89">
        <f t="shared" ref="G519:L519" si="36">SUM(G516:G518)</f>
        <v>204628.97000000003</v>
      </c>
      <c r="H519" s="89">
        <f t="shared" si="36"/>
        <v>35903.47</v>
      </c>
      <c r="I519" s="89">
        <f t="shared" si="36"/>
        <v>12220.69</v>
      </c>
      <c r="J519" s="89">
        <f t="shared" si="36"/>
        <v>0</v>
      </c>
      <c r="K519" s="89">
        <f t="shared" si="36"/>
        <v>1532</v>
      </c>
      <c r="L519" s="89">
        <f t="shared" si="36"/>
        <v>904453.52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60126.38</v>
      </c>
      <c r="G521" s="18">
        <v>19242.830000000002</v>
      </c>
      <c r="H521" s="18"/>
      <c r="I521" s="18"/>
      <c r="J521" s="18">
        <v>89.54</v>
      </c>
      <c r="K521" s="18">
        <v>30955.79</v>
      </c>
      <c r="L521" s="88">
        <f>SUM(F521:K521)</f>
        <v>110414.53999999998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v>60126.3</v>
      </c>
      <c r="G522" s="18">
        <v>19246.849999999999</v>
      </c>
      <c r="H522" s="18"/>
      <c r="I522" s="18"/>
      <c r="J522" s="18">
        <v>89.54</v>
      </c>
      <c r="K522" s="18">
        <v>31105.78</v>
      </c>
      <c r="L522" s="88">
        <f>SUM(F522:K522)</f>
        <v>110568.46999999999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60124.54</v>
      </c>
      <c r="G523" s="18">
        <v>19242.689999999999</v>
      </c>
      <c r="H523" s="18"/>
      <c r="I523" s="18"/>
      <c r="J523" s="18">
        <v>89.53</v>
      </c>
      <c r="K523" s="18">
        <v>30955.79</v>
      </c>
      <c r="L523" s="88">
        <f>SUM(F523:K523)</f>
        <v>110412.54999999999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180377.22</v>
      </c>
      <c r="G524" s="89">
        <f t="shared" ref="G524:L524" si="37">SUM(G521:G523)</f>
        <v>57732.369999999995</v>
      </c>
      <c r="H524" s="89">
        <f t="shared" si="37"/>
        <v>0</v>
      </c>
      <c r="I524" s="89">
        <f t="shared" si="37"/>
        <v>0</v>
      </c>
      <c r="J524" s="89">
        <f t="shared" si="37"/>
        <v>268.61</v>
      </c>
      <c r="K524" s="89">
        <f t="shared" si="37"/>
        <v>93017.36</v>
      </c>
      <c r="L524" s="89">
        <f t="shared" si="37"/>
        <v>331395.55999999994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2452.73</v>
      </c>
      <c r="I526" s="18"/>
      <c r="J526" s="18"/>
      <c r="K526" s="18"/>
      <c r="L526" s="88">
        <f>SUM(F526:K526)</f>
        <v>2452.73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v>1173.04</v>
      </c>
      <c r="I527" s="18"/>
      <c r="J527" s="18"/>
      <c r="K527" s="18"/>
      <c r="L527" s="88">
        <f>SUM(F527:K527)</f>
        <v>1173.04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v>1706.24</v>
      </c>
      <c r="I528" s="18"/>
      <c r="J528" s="18"/>
      <c r="K528" s="18"/>
      <c r="L528" s="88">
        <f>SUM(F528:K528)</f>
        <v>1706.24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5332.01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5332.01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157953.03</v>
      </c>
      <c r="I531" s="18"/>
      <c r="J531" s="18"/>
      <c r="K531" s="18"/>
      <c r="L531" s="88">
        <f>SUM(F531:K531)</f>
        <v>157953.03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36048.25</v>
      </c>
      <c r="I532" s="18"/>
      <c r="J532" s="18"/>
      <c r="K532" s="18"/>
      <c r="L532" s="88">
        <f>SUM(F532:K532)</f>
        <v>36048.25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171362.01</v>
      </c>
      <c r="I533" s="18"/>
      <c r="J533" s="18"/>
      <c r="K533" s="18"/>
      <c r="L533" s="88">
        <f>SUM(F533:K533)</f>
        <v>171362.01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365363.29000000004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365363.29000000004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3306469.9400000004</v>
      </c>
      <c r="G535" s="89">
        <f t="shared" ref="G535:L535" si="40">G514+G519+G524+G529+G534</f>
        <v>1231133.44</v>
      </c>
      <c r="H535" s="89">
        <f t="shared" si="40"/>
        <v>1155343.27</v>
      </c>
      <c r="I535" s="89">
        <f t="shared" si="40"/>
        <v>62547.93</v>
      </c>
      <c r="J535" s="89">
        <f t="shared" si="40"/>
        <v>13259.16</v>
      </c>
      <c r="K535" s="89">
        <f t="shared" si="40"/>
        <v>94549.36</v>
      </c>
      <c r="L535" s="89">
        <f t="shared" si="40"/>
        <v>5863303.0999999996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1845224.29</v>
      </c>
      <c r="G539" s="87">
        <f>L516</f>
        <v>333643.27999999997</v>
      </c>
      <c r="H539" s="87">
        <f>L521</f>
        <v>110414.53999999998</v>
      </c>
      <c r="I539" s="87">
        <f>L526</f>
        <v>2452.73</v>
      </c>
      <c r="J539" s="87">
        <f>L531</f>
        <v>157953.03</v>
      </c>
      <c r="K539" s="87">
        <f>SUM(F539:J539)</f>
        <v>2449687.8699999996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876214.69000000018</v>
      </c>
      <c r="G540" s="87">
        <f>L517</f>
        <v>268912.90999999997</v>
      </c>
      <c r="H540" s="87">
        <f>L522</f>
        <v>110568.46999999999</v>
      </c>
      <c r="I540" s="87">
        <f>L527</f>
        <v>1173.04</v>
      </c>
      <c r="J540" s="87">
        <f>L532</f>
        <v>36048.25</v>
      </c>
      <c r="K540" s="87">
        <f>SUM(F540:J540)</f>
        <v>1292917.3600000001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1535319.7400000002</v>
      </c>
      <c r="G541" s="87">
        <f>L518</f>
        <v>301897.33</v>
      </c>
      <c r="H541" s="87">
        <f>L523</f>
        <v>110412.54999999999</v>
      </c>
      <c r="I541" s="87">
        <f>L528</f>
        <v>1706.24</v>
      </c>
      <c r="J541" s="87">
        <f>L533</f>
        <v>171362.01</v>
      </c>
      <c r="K541" s="87">
        <f>SUM(F541:J541)</f>
        <v>2120697.87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4256758.7200000007</v>
      </c>
      <c r="G542" s="89">
        <f t="shared" si="41"/>
        <v>904453.52</v>
      </c>
      <c r="H542" s="89">
        <f t="shared" si="41"/>
        <v>331395.55999999994</v>
      </c>
      <c r="I542" s="89">
        <f t="shared" si="41"/>
        <v>5332.01</v>
      </c>
      <c r="J542" s="89">
        <f t="shared" si="41"/>
        <v>365363.29000000004</v>
      </c>
      <c r="K542" s="89">
        <f t="shared" si="41"/>
        <v>5863303.0999999996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4096.87</v>
      </c>
      <c r="G552" s="18">
        <v>313.39999999999998</v>
      </c>
      <c r="H552" s="18">
        <v>270.13</v>
      </c>
      <c r="I552" s="18"/>
      <c r="J552" s="18"/>
      <c r="K552" s="18"/>
      <c r="L552" s="88">
        <f>SUM(F552:K552)</f>
        <v>4680.3999999999996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v>1959.38</v>
      </c>
      <c r="G553" s="18">
        <v>149.88999999999999</v>
      </c>
      <c r="H553" s="18">
        <v>129.19</v>
      </c>
      <c r="I553" s="18"/>
      <c r="J553" s="18"/>
      <c r="K553" s="18"/>
      <c r="L553" s="88">
        <f>SUM(F553:K553)</f>
        <v>2238.46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2850</v>
      </c>
      <c r="G554" s="18">
        <v>218.02</v>
      </c>
      <c r="H554" s="18">
        <v>187.91</v>
      </c>
      <c r="I554" s="18"/>
      <c r="J554" s="18"/>
      <c r="K554" s="18"/>
      <c r="L554" s="88">
        <f>SUM(F554:K554)</f>
        <v>3255.93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8906.25</v>
      </c>
      <c r="G555" s="89">
        <f t="shared" si="43"/>
        <v>681.31</v>
      </c>
      <c r="H555" s="89">
        <f t="shared" si="43"/>
        <v>587.23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10174.789999999999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>
        <v>22870.720000000001</v>
      </c>
      <c r="G557" s="18">
        <v>10860.94</v>
      </c>
      <c r="H557" s="18">
        <v>1411.28</v>
      </c>
      <c r="I557" s="18">
        <v>3989.67</v>
      </c>
      <c r="J557" s="18">
        <v>376.63</v>
      </c>
      <c r="K557" s="18">
        <v>110.4</v>
      </c>
      <c r="L557" s="88">
        <f>SUM(F557:K557)</f>
        <v>39619.64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>
        <v>10938.17</v>
      </c>
      <c r="G558" s="18">
        <v>5194.37</v>
      </c>
      <c r="H558" s="18">
        <v>674.96</v>
      </c>
      <c r="I558" s="18">
        <v>1908.11</v>
      </c>
      <c r="J558" s="18">
        <v>180.13</v>
      </c>
      <c r="K558" s="18">
        <v>52.8</v>
      </c>
      <c r="L558" s="88">
        <f>SUM(F558:K558)</f>
        <v>18948.54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>
        <v>15910.07</v>
      </c>
      <c r="G559" s="18">
        <v>7555.44</v>
      </c>
      <c r="H559" s="18">
        <v>6981.76</v>
      </c>
      <c r="I559" s="18">
        <v>2775.43</v>
      </c>
      <c r="J559" s="18">
        <v>262</v>
      </c>
      <c r="K559" s="18">
        <v>76.8</v>
      </c>
      <c r="L559" s="88">
        <f>SUM(F559:K559)</f>
        <v>33561.5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49718.96</v>
      </c>
      <c r="G560" s="194">
        <f t="shared" ref="G560:L560" si="44">SUM(G557:G559)</f>
        <v>23610.75</v>
      </c>
      <c r="H560" s="194">
        <f t="shared" si="44"/>
        <v>9068</v>
      </c>
      <c r="I560" s="194">
        <f t="shared" si="44"/>
        <v>8673.2099999999991</v>
      </c>
      <c r="J560" s="194">
        <f t="shared" si="44"/>
        <v>818.76</v>
      </c>
      <c r="K560" s="194">
        <f t="shared" si="44"/>
        <v>240</v>
      </c>
      <c r="L560" s="194">
        <f t="shared" si="44"/>
        <v>92129.68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58625.21</v>
      </c>
      <c r="G561" s="89">
        <f t="shared" ref="G561:L561" si="45">G550+G555+G560</f>
        <v>24292.06</v>
      </c>
      <c r="H561" s="89">
        <f t="shared" si="45"/>
        <v>9655.23</v>
      </c>
      <c r="I561" s="89">
        <f t="shared" si="45"/>
        <v>8673.2099999999991</v>
      </c>
      <c r="J561" s="89">
        <f t="shared" si="45"/>
        <v>818.76</v>
      </c>
      <c r="K561" s="89">
        <f t="shared" si="45"/>
        <v>240</v>
      </c>
      <c r="L561" s="89">
        <f t="shared" si="45"/>
        <v>102304.46999999999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>
        <v>1547.5</v>
      </c>
      <c r="H568" s="18">
        <f>1650+6000+308</f>
        <v>7958</v>
      </c>
      <c r="I568" s="87">
        <f t="shared" si="46"/>
        <v>9505.5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212</v>
      </c>
      <c r="G569" s="18">
        <v>4956.8999999999996</v>
      </c>
      <c r="H569" s="18">
        <v>1725.15</v>
      </c>
      <c r="I569" s="87">
        <f t="shared" si="46"/>
        <v>6894.0499999999993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>
        <v>6204.8</v>
      </c>
      <c r="G570" s="18">
        <v>33829.35</v>
      </c>
      <c r="H570" s="18">
        <v>73562.2</v>
      </c>
      <c r="I570" s="87">
        <f t="shared" si="46"/>
        <v>113596.35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113559.08</v>
      </c>
      <c r="G572" s="18">
        <v>1474.86</v>
      </c>
      <c r="H572" s="18">
        <v>293566.76</v>
      </c>
      <c r="I572" s="87">
        <f t="shared" si="46"/>
        <v>408600.7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23695.32</v>
      </c>
      <c r="G573" s="18">
        <v>0</v>
      </c>
      <c r="H573" s="18">
        <v>56741.37</v>
      </c>
      <c r="I573" s="87">
        <f t="shared" si="46"/>
        <v>80436.69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61283.67</v>
      </c>
      <c r="I574" s="87">
        <f t="shared" si="46"/>
        <v>61283.67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304184.13</v>
      </c>
      <c r="I581" s="18">
        <v>145479.37</v>
      </c>
      <c r="J581" s="18">
        <v>211606.35</v>
      </c>
      <c r="K581" s="104">
        <f t="shared" ref="K581:K587" si="47">SUM(H581:J581)</f>
        <v>661269.85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157953.03</v>
      </c>
      <c r="I582" s="18">
        <v>36048.25</v>
      </c>
      <c r="J582" s="18">
        <v>171362.01</v>
      </c>
      <c r="K582" s="104">
        <f t="shared" si="47"/>
        <v>365363.29000000004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101851.5</v>
      </c>
      <c r="K583" s="104">
        <f t="shared" si="47"/>
        <v>101851.5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4383.38</v>
      </c>
      <c r="J584" s="18">
        <v>35336.19</v>
      </c>
      <c r="K584" s="104">
        <f t="shared" si="47"/>
        <v>39719.57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9101.76</v>
      </c>
      <c r="I585" s="18">
        <v>8763.7999999999993</v>
      </c>
      <c r="J585" s="18">
        <v>478.18</v>
      </c>
      <c r="K585" s="104">
        <f t="shared" si="47"/>
        <v>18343.739999999998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471238.92000000004</v>
      </c>
      <c r="I588" s="108">
        <f>SUM(I581:I587)</f>
        <v>194674.8</v>
      </c>
      <c r="J588" s="108">
        <f>SUM(J581:J587)</f>
        <v>520634.23</v>
      </c>
      <c r="K588" s="108">
        <f>SUM(K581:K587)</f>
        <v>1186547.9500000002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80284.25</v>
      </c>
      <c r="I594" s="18">
        <v>61944.91</v>
      </c>
      <c r="J594" s="18">
        <v>120843.89</v>
      </c>
      <c r="K594" s="104">
        <f>SUM(H594:J594)</f>
        <v>263073.05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80284.25</v>
      </c>
      <c r="I595" s="108">
        <f>SUM(I592:I594)</f>
        <v>61944.91</v>
      </c>
      <c r="J595" s="108">
        <f>SUM(J592:J594)</f>
        <v>120843.89</v>
      </c>
      <c r="K595" s="108">
        <f>SUM(K592:K594)</f>
        <v>263073.05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47337.11</v>
      </c>
      <c r="G601" s="18">
        <v>6921.64</v>
      </c>
      <c r="H601" s="18">
        <v>1753.92</v>
      </c>
      <c r="I601" s="18">
        <v>547.32000000000005</v>
      </c>
      <c r="J601" s="18"/>
      <c r="K601" s="18"/>
      <c r="L601" s="88">
        <f>SUM(F601:K601)</f>
        <v>56559.99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11012.08</v>
      </c>
      <c r="G602" s="18">
        <v>1576.34</v>
      </c>
      <c r="H602" s="18"/>
      <c r="I602" s="18">
        <v>516.21</v>
      </c>
      <c r="J602" s="18"/>
      <c r="K602" s="18"/>
      <c r="L602" s="88">
        <f>SUM(F602:K602)</f>
        <v>13104.630000000001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5000.83</v>
      </c>
      <c r="G603" s="18">
        <v>790.03</v>
      </c>
      <c r="H603" s="18"/>
      <c r="I603" s="18"/>
      <c r="J603" s="18"/>
      <c r="K603" s="18"/>
      <c r="L603" s="88">
        <f>SUM(F603:K603)</f>
        <v>5790.86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63350.020000000004</v>
      </c>
      <c r="G604" s="108">
        <f t="shared" si="48"/>
        <v>9288.01</v>
      </c>
      <c r="H604" s="108">
        <f t="shared" si="48"/>
        <v>1753.92</v>
      </c>
      <c r="I604" s="108">
        <f t="shared" si="48"/>
        <v>1063.5300000000002</v>
      </c>
      <c r="J604" s="108">
        <f t="shared" si="48"/>
        <v>0</v>
      </c>
      <c r="K604" s="108">
        <f t="shared" si="48"/>
        <v>0</v>
      </c>
      <c r="L604" s="89">
        <f t="shared" si="48"/>
        <v>75455.48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1004696.45</v>
      </c>
      <c r="H607" s="109">
        <f>SUM(F44)</f>
        <v>1004696.45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48010.39</v>
      </c>
      <c r="H608" s="109">
        <f>SUM(G44)</f>
        <v>48010.39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131461.92000000001</v>
      </c>
      <c r="H609" s="109">
        <f>SUM(H44)</f>
        <v>131461.92000000001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190278.19</v>
      </c>
      <c r="H610" s="109">
        <f>SUM(I44)</f>
        <v>190278.19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2452711.7399999998</v>
      </c>
      <c r="H611" s="109">
        <f>SUM(J44)</f>
        <v>2452711.7399999998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840227.94</v>
      </c>
      <c r="H612" s="109">
        <f>F466</f>
        <v>840227.93999999762</v>
      </c>
      <c r="I612" s="121" t="s">
        <v>106</v>
      </c>
      <c r="J612" s="109">
        <f t="shared" ref="J612:J645" si="49">G612-H612</f>
        <v>2.3283064365386963E-9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483.51</v>
      </c>
      <c r="H613" s="109">
        <f>G466</f>
        <v>483.51000000000931</v>
      </c>
      <c r="I613" s="121" t="s">
        <v>108</v>
      </c>
      <c r="J613" s="109">
        <f t="shared" si="49"/>
        <v>-9.3223206931725144E-12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693.95</v>
      </c>
      <c r="H614" s="109">
        <f>H466</f>
        <v>693.94999999995343</v>
      </c>
      <c r="I614" s="121" t="s">
        <v>110</v>
      </c>
      <c r="J614" s="109">
        <f t="shared" si="49"/>
        <v>4.6611603465862572E-11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190238.6</v>
      </c>
      <c r="H615" s="109">
        <f>I466</f>
        <v>190238.60000000003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2452711.7399999998</v>
      </c>
      <c r="H616" s="109">
        <f>J466</f>
        <v>2452711.7400000002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20856746.289999999</v>
      </c>
      <c r="H617" s="104">
        <f>SUM(F458)</f>
        <v>20856746.289999999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616135.59</v>
      </c>
      <c r="H618" s="104">
        <f>SUM(G458)</f>
        <v>616135.59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1061611.8999999999</v>
      </c>
      <c r="H619" s="104">
        <f>SUM(H458)</f>
        <v>1061611.8999999999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195032.69</v>
      </c>
      <c r="H621" s="104">
        <f>SUM(J458)</f>
        <v>195032.69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21638844.34</v>
      </c>
      <c r="H622" s="104">
        <f>SUM(F462)</f>
        <v>21638844.34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1061611.8999999999</v>
      </c>
      <c r="H623" s="104">
        <f>SUM(H462)</f>
        <v>1061611.8999999999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2286.7200000000003</v>
      </c>
      <c r="H624" s="104">
        <f>I361</f>
        <v>2286.7200000000003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616087.07999999996</v>
      </c>
      <c r="H625" s="104">
        <f>SUM(G462)</f>
        <v>616087.07999999996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265097.05000000005</v>
      </c>
      <c r="H626" s="104">
        <f>SUM(I462)</f>
        <v>265097.05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195032.69</v>
      </c>
      <c r="H627" s="164">
        <f>SUM(J458)</f>
        <v>195032.69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201185.16999999998</v>
      </c>
      <c r="H628" s="164">
        <f>SUM(J462)</f>
        <v>201185.17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786549.81</v>
      </c>
      <c r="H629" s="104">
        <f>SUM(F451)</f>
        <v>786549.81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1370094.32</v>
      </c>
      <c r="H630" s="104">
        <f>SUM(G451)</f>
        <v>1370094.32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296067.61</v>
      </c>
      <c r="H631" s="104">
        <f>SUM(H451)</f>
        <v>296067.61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2452711.7399999998</v>
      </c>
      <c r="H632" s="104">
        <f>SUM(I451)</f>
        <v>2452711.7399999998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70032.69</v>
      </c>
      <c r="H634" s="104">
        <f>H400</f>
        <v>70032.69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125000</v>
      </c>
      <c r="H635" s="104">
        <f>G400</f>
        <v>125000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195032.69</v>
      </c>
      <c r="H636" s="104">
        <f>L400</f>
        <v>195032.69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1186547.9500000002</v>
      </c>
      <c r="H637" s="104">
        <f>L200+L218+L236</f>
        <v>1186547.95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263073.05</v>
      </c>
      <c r="H638" s="104">
        <f>(J249+J330)-(J247+J328)</f>
        <v>263073.05000000005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471238.92000000004</v>
      </c>
      <c r="H639" s="104">
        <f>H588</f>
        <v>471238.92000000004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194674.8</v>
      </c>
      <c r="H640" s="104">
        <f>I588</f>
        <v>194674.8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520634.23</v>
      </c>
      <c r="H641" s="104">
        <f>J588</f>
        <v>520634.23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45000</v>
      </c>
      <c r="H642" s="104">
        <f>K255+K337</f>
        <v>45000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125000</v>
      </c>
      <c r="H645" s="104">
        <f>K258+K339</f>
        <v>125000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9493542.5700000003</v>
      </c>
      <c r="G650" s="19">
        <f>(L221+L301+L351)</f>
        <v>4854022.63</v>
      </c>
      <c r="H650" s="19">
        <f>(L239+L320+L352)</f>
        <v>7261579.580000001</v>
      </c>
      <c r="I650" s="19">
        <f>SUM(F650:H650)</f>
        <v>21609144.780000001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148910.14368141271</v>
      </c>
      <c r="G651" s="19">
        <f>(L351/IF(SUM(L350:L352)=0,1,SUM(L350:L352))*(SUM(G89:G102)))</f>
        <v>71217.895261059515</v>
      </c>
      <c r="H651" s="19">
        <f>(L352/IF(SUM(L350:L352)=0,1,SUM(L350:L352))*(SUM(G89:G102)))</f>
        <v>103589.66105752779</v>
      </c>
      <c r="I651" s="19">
        <f>SUM(F651:H651)</f>
        <v>323717.7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471238.92000000004</v>
      </c>
      <c r="G652" s="19">
        <f>(L218+L298)-(J218+J298)</f>
        <v>194674.8</v>
      </c>
      <c r="H652" s="19">
        <f>(L236+L317)-(J236+J317)</f>
        <v>520634.23</v>
      </c>
      <c r="I652" s="19">
        <f>SUM(F652:H652)</f>
        <v>1186547.95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280515.44</v>
      </c>
      <c r="G653" s="200">
        <f>SUM(G565:G577)+SUM(I592:I594)+L602</f>
        <v>116858.15000000001</v>
      </c>
      <c r="H653" s="200">
        <f>SUM(H565:H577)+SUM(J592:J594)+L603</f>
        <v>621471.89999999991</v>
      </c>
      <c r="I653" s="19">
        <f>SUM(F653:H653)</f>
        <v>1018845.49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8592878.0663185883</v>
      </c>
      <c r="G654" s="19">
        <f>G650-SUM(G651:G653)</f>
        <v>4471271.7847389402</v>
      </c>
      <c r="H654" s="19">
        <f>H650-SUM(H651:H653)</f>
        <v>6015883.788942473</v>
      </c>
      <c r="I654" s="19">
        <f>I650-SUM(I651:I653)</f>
        <v>19080033.640000001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f>372.53+370.46</f>
        <v>742.99</v>
      </c>
      <c r="G655" s="249">
        <f>354.61</f>
        <v>354.61</v>
      </c>
      <c r="H655" s="249">
        <f>532.89</f>
        <v>532.89</v>
      </c>
      <c r="I655" s="19">
        <f>SUM(F655:H655)</f>
        <v>1630.4899999999998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11565.27</v>
      </c>
      <c r="G657" s="19">
        <f>ROUND(G654/G655,2)</f>
        <v>12608.98</v>
      </c>
      <c r="H657" s="19">
        <f>ROUND(H654/H655,2)</f>
        <v>11289.17</v>
      </c>
      <c r="I657" s="19">
        <f>ROUND(I654/I655,2)</f>
        <v>11702.02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-16.239999999999998</v>
      </c>
      <c r="I660" s="19">
        <f>SUM(F660:H660)</f>
        <v>-16.239999999999998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11565.27</v>
      </c>
      <c r="G662" s="19">
        <f>ROUND((G654+G659)/(G655+G660),2)</f>
        <v>12608.98</v>
      </c>
      <c r="H662" s="19">
        <f>ROUND((H654+H659)/(H655+H660),2)</f>
        <v>11644.02</v>
      </c>
      <c r="I662" s="19">
        <f>ROUND((I654+I659)/(I655+I660),2)</f>
        <v>11819.75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8A3A1-21C8-49F4-9DA7-826328E1984A}">
  <sheetPr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Jaffrey-Rindge Cooperative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5407923.5600000005</v>
      </c>
      <c r="C9" s="230">
        <f>'DOE25'!G189+'DOE25'!G207+'DOE25'!G225+'DOE25'!G268+'DOE25'!G287+'DOE25'!G306</f>
        <v>1861292.92</v>
      </c>
    </row>
    <row r="10" spans="1:3" x14ac:dyDescent="0.2">
      <c r="A10" t="s">
        <v>813</v>
      </c>
      <c r="B10" s="241">
        <v>5253166.71</v>
      </c>
      <c r="C10" s="241">
        <v>1849454.02</v>
      </c>
    </row>
    <row r="11" spans="1:3" x14ac:dyDescent="0.2">
      <c r="A11" t="s">
        <v>814</v>
      </c>
      <c r="B11" s="241"/>
      <c r="C11" s="241"/>
    </row>
    <row r="12" spans="1:3" x14ac:dyDescent="0.2">
      <c r="A12" t="s">
        <v>815</v>
      </c>
      <c r="B12" s="241">
        <v>154756.85</v>
      </c>
      <c r="C12" s="241">
        <v>11838.9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5407923.5599999996</v>
      </c>
      <c r="C13" s="232">
        <f>SUM(C10:C12)</f>
        <v>1861292.92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2633513.1100000003</v>
      </c>
      <c r="C18" s="230">
        <f>'DOE25'!G190+'DOE25'!G208+'DOE25'!G226+'DOE25'!G269+'DOE25'!G288+'DOE25'!G307</f>
        <v>1031949.0599999998</v>
      </c>
    </row>
    <row r="19" spans="1:3" x14ac:dyDescent="0.2">
      <c r="A19" t="s">
        <v>813</v>
      </c>
      <c r="B19" s="241">
        <v>1689585.75</v>
      </c>
      <c r="C19" s="241">
        <v>594989.55000000005</v>
      </c>
    </row>
    <row r="20" spans="1:3" x14ac:dyDescent="0.2">
      <c r="A20" t="s">
        <v>814</v>
      </c>
      <c r="B20" s="241">
        <v>682106.21</v>
      </c>
      <c r="C20" s="241">
        <v>373879.78</v>
      </c>
    </row>
    <row r="21" spans="1:3" x14ac:dyDescent="0.2">
      <c r="A21" t="s">
        <v>815</v>
      </c>
      <c r="B21" s="241">
        <f>81443.93+180377.22</f>
        <v>261821.15</v>
      </c>
      <c r="C21" s="241">
        <v>63079.73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2633513.11</v>
      </c>
      <c r="C22" s="232">
        <f>SUM(C19:C21)</f>
        <v>1031949.06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340881.41000000003</v>
      </c>
      <c r="C27" s="235">
        <f>'DOE25'!G191+'DOE25'!G209+'DOE25'!G227+'DOE25'!G270+'DOE25'!G289+'DOE25'!G308</f>
        <v>124737.29999999999</v>
      </c>
    </row>
    <row r="28" spans="1:3" x14ac:dyDescent="0.2">
      <c r="A28" t="s">
        <v>813</v>
      </c>
      <c r="B28" s="241">
        <v>340881.41</v>
      </c>
      <c r="C28" s="241">
        <v>124737.3</v>
      </c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340881.41</v>
      </c>
      <c r="C31" s="232">
        <f>SUM(C28:C30)</f>
        <v>124737.3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196097.18</v>
      </c>
      <c r="C36" s="236">
        <f>'DOE25'!G192+'DOE25'!G210+'DOE25'!G228+'DOE25'!G271+'DOE25'!G290+'DOE25'!G309</f>
        <v>25930.37</v>
      </c>
    </row>
    <row r="37" spans="1:3" x14ac:dyDescent="0.2">
      <c r="A37" t="s">
        <v>813</v>
      </c>
      <c r="B37" s="241">
        <f>29125.23+6524.38+2395.83+8616.25+5000.83+11687.5-15180.63</f>
        <v>48169.390000000007</v>
      </c>
      <c r="C37" s="241">
        <v>7292.85</v>
      </c>
    </row>
    <row r="38" spans="1:3" x14ac:dyDescent="0.2">
      <c r="A38" t="s">
        <v>814</v>
      </c>
      <c r="B38" s="241">
        <v>15180.63</v>
      </c>
      <c r="C38" s="241">
        <v>2551.86</v>
      </c>
    </row>
    <row r="39" spans="1:3" x14ac:dyDescent="0.2">
      <c r="A39" t="s">
        <v>815</v>
      </c>
      <c r="B39" s="241">
        <f>14835.02+9052.46+9068.97+21510+13966.11+56482.76+7831.84</f>
        <v>132747.16</v>
      </c>
      <c r="C39" s="241">
        <v>16085.66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196097.18</v>
      </c>
      <c r="C40" s="232">
        <f>SUM(C37:C39)</f>
        <v>25930.370000000003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16:C16"/>
    <mergeCell ref="B33:C33"/>
    <mergeCell ref="B34:C34"/>
    <mergeCell ref="B24:C24"/>
    <mergeCell ref="B25:C25"/>
    <mergeCell ref="A3:C3"/>
    <mergeCell ref="B6:C6"/>
    <mergeCell ref="B7:C7"/>
    <mergeCell ref="B15:C15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F270B-02CA-4F28-A0F1-87CC1DBB5CC1}">
  <sheetPr>
    <tabColor indexed="11"/>
  </sheetPr>
  <dimension ref="A1:I51"/>
  <sheetViews>
    <sheetView workbookViewId="0">
      <pane ySplit="4" topLeftCell="A23" activePane="bottomLeft" state="frozen"/>
      <selection pane="bottomLeft" activeCell="C13" sqref="C1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Jaffrey-Rindge Cooperative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12450291.890000001</v>
      </c>
      <c r="D5" s="20">
        <f>SUM('DOE25'!L189:L192)+SUM('DOE25'!L207:L210)+SUM('DOE25'!L225:L228)-F5-G5</f>
        <v>12278351.870000001</v>
      </c>
      <c r="E5" s="244"/>
      <c r="F5" s="256">
        <f>SUM('DOE25'!J189:J192)+SUM('DOE25'!J207:J210)+SUM('DOE25'!J225:J228)</f>
        <v>66954.66</v>
      </c>
      <c r="G5" s="53">
        <f>SUM('DOE25'!K189:K192)+SUM('DOE25'!K207:K210)+SUM('DOE25'!K225:K228)</f>
        <v>104985.36</v>
      </c>
      <c r="H5" s="260"/>
    </row>
    <row r="6" spans="1:9" x14ac:dyDescent="0.2">
      <c r="A6" s="32">
        <v>2100</v>
      </c>
      <c r="B6" t="s">
        <v>835</v>
      </c>
      <c r="C6" s="246">
        <f t="shared" si="0"/>
        <v>1430106.6600000001</v>
      </c>
      <c r="D6" s="20">
        <f>'DOE25'!L194+'DOE25'!L212+'DOE25'!L230-F6-G6</f>
        <v>1429823.1600000001</v>
      </c>
      <c r="E6" s="244"/>
      <c r="F6" s="256">
        <f>'DOE25'!J194+'DOE25'!J212+'DOE25'!J230</f>
        <v>243.5</v>
      </c>
      <c r="G6" s="53">
        <f>'DOE25'!K194+'DOE25'!K212+'DOE25'!K230</f>
        <v>40</v>
      </c>
      <c r="H6" s="260"/>
    </row>
    <row r="7" spans="1:9" x14ac:dyDescent="0.2">
      <c r="A7" s="32">
        <v>2200</v>
      </c>
      <c r="B7" t="s">
        <v>868</v>
      </c>
      <c r="C7" s="246">
        <f t="shared" si="0"/>
        <v>589623.02</v>
      </c>
      <c r="D7" s="20">
        <f>'DOE25'!L195+'DOE25'!L213+'DOE25'!L231-F7-G7</f>
        <v>581153.75</v>
      </c>
      <c r="E7" s="244"/>
      <c r="F7" s="256">
        <f>'DOE25'!J195+'DOE25'!J213+'DOE25'!J231</f>
        <v>1435.27</v>
      </c>
      <c r="G7" s="53">
        <f>'DOE25'!K195+'DOE25'!K213+'DOE25'!K231</f>
        <v>7034</v>
      </c>
      <c r="H7" s="260"/>
    </row>
    <row r="8" spans="1:9" x14ac:dyDescent="0.2">
      <c r="A8" s="32">
        <v>2300</v>
      </c>
      <c r="B8" t="s">
        <v>836</v>
      </c>
      <c r="C8" s="246">
        <f t="shared" si="0"/>
        <v>-5.2750692702829838E-11</v>
      </c>
      <c r="D8" s="244"/>
      <c r="E8" s="20">
        <f>'DOE25'!L196+'DOE25'!L214+'DOE25'!L232-F8-G8-D9-D11</f>
        <v>-9772.1200000000536</v>
      </c>
      <c r="F8" s="256">
        <f>'DOE25'!J196+'DOE25'!J214+'DOE25'!J232</f>
        <v>0</v>
      </c>
      <c r="G8" s="53">
        <f>'DOE25'!K196+'DOE25'!K214+'DOE25'!K232</f>
        <v>9772.1200000000008</v>
      </c>
      <c r="H8" s="260"/>
    </row>
    <row r="9" spans="1:9" x14ac:dyDescent="0.2">
      <c r="A9" s="32">
        <v>2310</v>
      </c>
      <c r="B9" t="s">
        <v>852</v>
      </c>
      <c r="C9" s="246">
        <f t="shared" si="0"/>
        <v>94273.03</v>
      </c>
      <c r="D9" s="245">
        <v>94273.03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22526</v>
      </c>
      <c r="D10" s="244"/>
      <c r="E10" s="245">
        <v>22526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216473.29</v>
      </c>
      <c r="D11" s="245">
        <v>216473.29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1081314.5699999998</v>
      </c>
      <c r="D12" s="20">
        <f>'DOE25'!L197+'DOE25'!L215+'DOE25'!L233-F12-G12</f>
        <v>1064341.2599999998</v>
      </c>
      <c r="E12" s="244"/>
      <c r="F12" s="256">
        <f>'DOE25'!J197+'DOE25'!J215+'DOE25'!J233</f>
        <v>11963.310000000001</v>
      </c>
      <c r="G12" s="53">
        <f>'DOE25'!K197+'DOE25'!K215+'DOE25'!K233</f>
        <v>5010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431170.27</v>
      </c>
      <c r="D13" s="244"/>
      <c r="E13" s="20">
        <f>'DOE25'!L198+'DOE25'!L216+'DOE25'!L234-F13-G13</f>
        <v>421284.04000000004</v>
      </c>
      <c r="F13" s="256">
        <f>'DOE25'!J198+'DOE25'!J216+'DOE25'!J234</f>
        <v>4032.2299999999996</v>
      </c>
      <c r="G13" s="53">
        <f>'DOE25'!K198+'DOE25'!K216+'DOE25'!K234</f>
        <v>5854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1935015.89</v>
      </c>
      <c r="D14" s="20">
        <f>'DOE25'!L199+'DOE25'!L217+'DOE25'!L235-F14-G14</f>
        <v>1925383.19</v>
      </c>
      <c r="E14" s="244"/>
      <c r="F14" s="256">
        <f>'DOE25'!J199+'DOE25'!J217+'DOE25'!J235</f>
        <v>9384.7000000000007</v>
      </c>
      <c r="G14" s="53">
        <f>'DOE25'!K199+'DOE25'!K217+'DOE25'!K235</f>
        <v>248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1186547.95</v>
      </c>
      <c r="D15" s="20">
        <f>'DOE25'!L200+'DOE25'!L218+'DOE25'!L236-F15-G15</f>
        <v>1186547.95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540887.14</v>
      </c>
      <c r="D16" s="244"/>
      <c r="E16" s="20">
        <f>'DOE25'!L201+'DOE25'!L219+'DOE25'!L237-F16-G16</f>
        <v>430363.9</v>
      </c>
      <c r="F16" s="256">
        <f>'DOE25'!J201+'DOE25'!J219+'DOE25'!J237</f>
        <v>110523.24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297810.63</v>
      </c>
      <c r="D22" s="244"/>
      <c r="E22" s="244"/>
      <c r="F22" s="256">
        <f>'DOE25'!L247+'DOE25'!L328</f>
        <v>297810.63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1215330</v>
      </c>
      <c r="D25" s="244"/>
      <c r="E25" s="244"/>
      <c r="F25" s="259"/>
      <c r="G25" s="257"/>
      <c r="H25" s="258">
        <f>'DOE25'!L252+'DOE25'!L253+'DOE25'!L333+'DOE25'!L334</f>
        <v>1215330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616087.07999999996</v>
      </c>
      <c r="D29" s="20">
        <f>'DOE25'!L350+'DOE25'!L351+'DOE25'!L352-'DOE25'!I359-F29-G29</f>
        <v>613466.19999999995</v>
      </c>
      <c r="E29" s="244"/>
      <c r="F29" s="256">
        <f>'DOE25'!J350+'DOE25'!J351+'DOE25'!J352</f>
        <v>1974.6</v>
      </c>
      <c r="G29" s="53">
        <f>'DOE25'!K350+'DOE25'!K351+'DOE25'!K352</f>
        <v>646.28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1044320.66</v>
      </c>
      <c r="D31" s="20">
        <f>'DOE25'!L282+'DOE25'!L301+'DOE25'!L320+'DOE25'!L325+'DOE25'!L326+'DOE25'!L327-F31-G31</f>
        <v>985669.52</v>
      </c>
      <c r="E31" s="244"/>
      <c r="F31" s="256">
        <f>'DOE25'!J282+'DOE25'!J301+'DOE25'!J320+'DOE25'!J325+'DOE25'!J326+'DOE25'!J327</f>
        <v>58536.14</v>
      </c>
      <c r="G31" s="53">
        <f>'DOE25'!K282+'DOE25'!K301+'DOE25'!K320+'DOE25'!K325+'DOE25'!K326+'DOE25'!K327</f>
        <v>115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20375483.219999999</v>
      </c>
      <c r="E33" s="247">
        <f>SUM(E5:E31)</f>
        <v>864401.82000000007</v>
      </c>
      <c r="F33" s="247">
        <f>SUM(F5:F31)</f>
        <v>562858.28</v>
      </c>
      <c r="G33" s="247">
        <f>SUM(G5:G31)</f>
        <v>133704.75999999998</v>
      </c>
      <c r="H33" s="247">
        <f>SUM(H5:H31)</f>
        <v>1215330</v>
      </c>
    </row>
    <row r="35" spans="2:8" ht="12" thickBot="1" x14ac:dyDescent="0.25">
      <c r="B35" s="254" t="s">
        <v>881</v>
      </c>
      <c r="D35" s="255">
        <f>E33</f>
        <v>864401.82000000007</v>
      </c>
      <c r="E35" s="250"/>
    </row>
    <row r="36" spans="2:8" ht="12" thickTop="1" x14ac:dyDescent="0.2">
      <c r="B36" t="s">
        <v>849</v>
      </c>
      <c r="D36" s="20">
        <f>D33</f>
        <v>20375483.219999999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9C69E-FBBE-410C-B917-F707C66E4601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G136" sqref="G136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Jaffrey-Rindge Cooperative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860920.39</v>
      </c>
      <c r="D9" s="95">
        <f>'DOE25'!G9</f>
        <v>1567.05</v>
      </c>
      <c r="E9" s="95">
        <f>'DOE25'!H9</f>
        <v>0</v>
      </c>
      <c r="F9" s="95">
        <f>'DOE25'!I9</f>
        <v>190278.19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2452711.7399999998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97142.06</v>
      </c>
      <c r="D12" s="95">
        <f>'DOE25'!G12</f>
        <v>30502.02</v>
      </c>
      <c r="E12" s="95">
        <f>'DOE25'!H12</f>
        <v>693.95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1478</v>
      </c>
      <c r="D13" s="95">
        <f>'DOE25'!G13</f>
        <v>15941.32</v>
      </c>
      <c r="E13" s="95">
        <f>'DOE25'!H13</f>
        <v>130767.97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34646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10500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1004696.45</v>
      </c>
      <c r="D19" s="41">
        <f>SUM(D9:D18)</f>
        <v>48010.39</v>
      </c>
      <c r="E19" s="41">
        <f>SUM(E9:E18)</f>
        <v>131461.92000000001</v>
      </c>
      <c r="F19" s="41">
        <f>SUM(F9:F18)</f>
        <v>190278.19</v>
      </c>
      <c r="G19" s="41">
        <f>SUM(G9:G18)</f>
        <v>2452711.7399999998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128298.44</v>
      </c>
      <c r="F22" s="95">
        <f>'DOE25'!I23</f>
        <v>39.590000000000003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2469.5300000000002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122594.65</v>
      </c>
      <c r="D24" s="95">
        <f>'DOE25'!G25</f>
        <v>165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38571.81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27998.57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13875.29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8790.07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164468.51</v>
      </c>
      <c r="D32" s="41">
        <f>SUM(D22:D31)</f>
        <v>47526.879999999997</v>
      </c>
      <c r="E32" s="41">
        <f>SUM(E22:E31)</f>
        <v>130767.97</v>
      </c>
      <c r="F32" s="41">
        <f>SUM(F22:F31)</f>
        <v>39.590000000000003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3654.5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177689.37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100000</v>
      </c>
      <c r="D40" s="95">
        <f>'DOE25'!G41</f>
        <v>483.51</v>
      </c>
      <c r="E40" s="95">
        <f>'DOE25'!H41</f>
        <v>693.95</v>
      </c>
      <c r="F40" s="95">
        <f>'DOE25'!I41</f>
        <v>190238.6</v>
      </c>
      <c r="G40" s="95">
        <f>'DOE25'!J41</f>
        <v>2452711.7399999998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558884.06999999995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840227.94</v>
      </c>
      <c r="D42" s="41">
        <f>SUM(D34:D41)</f>
        <v>483.51</v>
      </c>
      <c r="E42" s="41">
        <f>SUM(E34:E41)</f>
        <v>693.95</v>
      </c>
      <c r="F42" s="41">
        <f>SUM(F34:F41)</f>
        <v>190238.6</v>
      </c>
      <c r="G42" s="41">
        <f>SUM(G34:G41)</f>
        <v>2452711.7399999998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1004696.45</v>
      </c>
      <c r="D43" s="41">
        <f>D42+D32</f>
        <v>48010.39</v>
      </c>
      <c r="E43" s="41">
        <f>E42+E32</f>
        <v>131461.92000000001</v>
      </c>
      <c r="F43" s="41">
        <f>F42+F32</f>
        <v>190278.19</v>
      </c>
      <c r="G43" s="41">
        <f>G42+G32</f>
        <v>2452711.7399999998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12436543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17510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3621.47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70032.69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323717.7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113455.57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134587.04</v>
      </c>
      <c r="D54" s="130">
        <f>SUM(D49:D53)</f>
        <v>323717.7</v>
      </c>
      <c r="E54" s="130">
        <f>SUM(E49:E53)</f>
        <v>0</v>
      </c>
      <c r="F54" s="130">
        <f>SUM(F49:F53)</f>
        <v>0</v>
      </c>
      <c r="G54" s="130">
        <f>SUM(G49:G53)</f>
        <v>70032.69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12571130.039999999</v>
      </c>
      <c r="D55" s="22">
        <f>D48+D54</f>
        <v>323717.7</v>
      </c>
      <c r="E55" s="22">
        <f>E48+E54</f>
        <v>0</v>
      </c>
      <c r="F55" s="22">
        <f>F48+F54</f>
        <v>0</v>
      </c>
      <c r="G55" s="22">
        <f>G48+G54</f>
        <v>70032.69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3740372.57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2366339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1435065.43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7541777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434456.18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186947.20000000001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9576.9599999999991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9300</v>
      </c>
      <c r="D69" s="95">
        <f>SUM('DOE25'!G123:G127)</f>
        <v>7351.85</v>
      </c>
      <c r="E69" s="95">
        <f>SUM('DOE25'!H123:H127)</f>
        <v>7217.47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640280.34</v>
      </c>
      <c r="D70" s="130">
        <f>SUM(D64:D69)</f>
        <v>7351.85</v>
      </c>
      <c r="E70" s="130">
        <f>SUM(E64:E69)</f>
        <v>7217.47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8182057.3399999999</v>
      </c>
      <c r="D73" s="130">
        <f>SUM(D71:D72)+D70+D62</f>
        <v>7351.85</v>
      </c>
      <c r="E73" s="130">
        <f>SUM(E71:E72)+E70+E62</f>
        <v>7217.47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952.91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88873.78</v>
      </c>
      <c r="D80" s="95">
        <f>SUM('DOE25'!G145:G153)</f>
        <v>240066.04</v>
      </c>
      <c r="E80" s="95">
        <f>SUM('DOE25'!H145:H153)</f>
        <v>1054394.43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89826.69</v>
      </c>
      <c r="D83" s="131">
        <f>SUM(D77:D82)</f>
        <v>240066.04</v>
      </c>
      <c r="E83" s="131">
        <f>SUM(E77:E82)</f>
        <v>1054394.43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45000</v>
      </c>
      <c r="E88" s="95">
        <f>'DOE25'!H171</f>
        <v>0</v>
      </c>
      <c r="F88" s="95">
        <f>'DOE25'!I171</f>
        <v>0</v>
      </c>
      <c r="G88" s="95">
        <f>'DOE25'!J171</f>
        <v>125000</v>
      </c>
    </row>
    <row r="89" spans="1:7" x14ac:dyDescent="0.2">
      <c r="A89" t="s">
        <v>790</v>
      </c>
      <c r="B89" s="32" t="s">
        <v>211</v>
      </c>
      <c r="C89" s="95">
        <f>SUM('DOE25'!F172:F173)</f>
        <v>13732.22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13732.22</v>
      </c>
      <c r="D95" s="86">
        <f>SUM(D85:D94)</f>
        <v>45000</v>
      </c>
      <c r="E95" s="86">
        <f>SUM(E85:E94)</f>
        <v>0</v>
      </c>
      <c r="F95" s="86">
        <f>SUM(F85:F94)</f>
        <v>0</v>
      </c>
      <c r="G95" s="86">
        <f>SUM(G85:G94)</f>
        <v>125000</v>
      </c>
    </row>
    <row r="96" spans="1:7" ht="12.75" thickTop="1" thickBot="1" x14ac:dyDescent="0.25">
      <c r="A96" s="33" t="s">
        <v>797</v>
      </c>
      <c r="C96" s="86">
        <f>C55+C73+C83+C95</f>
        <v>20856746.289999999</v>
      </c>
      <c r="D96" s="86">
        <f>D55+D73+D83+D95</f>
        <v>616135.59</v>
      </c>
      <c r="E96" s="86">
        <f>E55+E73+E83+E95</f>
        <v>1061611.8999999999</v>
      </c>
      <c r="F96" s="86">
        <f>F55+F73+F83+F95</f>
        <v>0</v>
      </c>
      <c r="G96" s="86">
        <f>G55+G73+G95</f>
        <v>195032.69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7290198.2599999998</v>
      </c>
      <c r="D101" s="24" t="s">
        <v>312</v>
      </c>
      <c r="E101" s="95">
        <f>('DOE25'!L268)+('DOE25'!L287)+('DOE25'!L306)</f>
        <v>393571.83999999997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4358260.7699999996</v>
      </c>
      <c r="D102" s="24" t="s">
        <v>312</v>
      </c>
      <c r="E102" s="95">
        <f>('DOE25'!L269)+('DOE25'!L288)+('DOE25'!L307)</f>
        <v>230854.72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530718.35</v>
      </c>
      <c r="D103" s="24" t="s">
        <v>312</v>
      </c>
      <c r="E103" s="95">
        <f>('DOE25'!L270)+('DOE25'!L289)+('DOE25'!L308)</f>
        <v>44686.47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271114.51</v>
      </c>
      <c r="D104" s="24" t="s">
        <v>312</v>
      </c>
      <c r="E104" s="95">
        <f>+('DOE25'!L271)+('DOE25'!L290)+('DOE25'!L309)</f>
        <v>24059.06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3559.02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6966.67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12450291.889999999</v>
      </c>
      <c r="D107" s="86">
        <f>SUM(D101:D106)</f>
        <v>0</v>
      </c>
      <c r="E107" s="86">
        <f>SUM(E101:E106)</f>
        <v>703697.78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1430106.6600000001</v>
      </c>
      <c r="D110" s="24" t="s">
        <v>312</v>
      </c>
      <c r="E110" s="95">
        <f>+('DOE25'!L273)+('DOE25'!L292)+('DOE25'!L311)</f>
        <v>160859.09999999998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589623.02</v>
      </c>
      <c r="D111" s="24" t="s">
        <v>312</v>
      </c>
      <c r="E111" s="95">
        <f>+('DOE25'!L274)+('DOE25'!L293)+('DOE25'!L312)</f>
        <v>183233.34999999998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310746.31999999995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1081314.5699999998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431170.27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1935015.89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1186547.95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540887.14</v>
      </c>
      <c r="D117" s="24" t="s">
        <v>312</v>
      </c>
      <c r="E117" s="95">
        <f>+('DOE25'!L280)+('DOE25'!L299)+('DOE25'!L318)</f>
        <v>89.45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616087.07999999996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7505411.8199999994</v>
      </c>
      <c r="D120" s="86">
        <f>SUM(D110:D119)</f>
        <v>616087.07999999996</v>
      </c>
      <c r="E120" s="86">
        <f>SUM(E110:E119)</f>
        <v>344181.89999999997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297810.63</v>
      </c>
      <c r="D122" s="24" t="s">
        <v>312</v>
      </c>
      <c r="E122" s="129">
        <f>'DOE25'!L328</f>
        <v>0</v>
      </c>
      <c r="F122" s="129">
        <f>SUM('DOE25'!L366:'DOE25'!L372)</f>
        <v>265097.05000000005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815000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400330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13732.22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45000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5886.63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172205.28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16940.78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-70032.69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1683140.63</v>
      </c>
      <c r="D136" s="141">
        <f>SUM(D122:D135)</f>
        <v>0</v>
      </c>
      <c r="E136" s="141">
        <f>SUM(E122:E135)</f>
        <v>13732.22</v>
      </c>
      <c r="F136" s="141">
        <f>SUM(F122:F135)</f>
        <v>265097.05000000005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21638844.339999996</v>
      </c>
      <c r="D137" s="86">
        <f>(D107+D120+D136)</f>
        <v>616087.07999999996</v>
      </c>
      <c r="E137" s="86">
        <f>(E107+E120+E136)</f>
        <v>1061611.8999999999</v>
      </c>
      <c r="F137" s="86">
        <f>(F107+F120+F136)</f>
        <v>265097.05000000005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10</v>
      </c>
      <c r="D143" s="153">
        <f>'DOE25'!H480</f>
        <v>15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11/02</v>
      </c>
      <c r="C144" s="152" t="str">
        <f>'DOE25'!G481</f>
        <v>7/05</v>
      </c>
      <c r="D144" s="152" t="str">
        <f>'DOE25'!H481</f>
        <v>7/06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11/12</v>
      </c>
      <c r="C145" s="152" t="str">
        <f>'DOE25'!G482</f>
        <v>8/15</v>
      </c>
      <c r="D145" s="152" t="str">
        <f>'DOE25'!H482</f>
        <v>8/21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1300000</v>
      </c>
      <c r="C146" s="137">
        <f>'DOE25'!G483</f>
        <v>631625</v>
      </c>
      <c r="D146" s="137">
        <f>'DOE25'!H483</f>
        <v>9247684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3.4</v>
      </c>
      <c r="C147" s="137">
        <f>'DOE25'!G484</f>
        <v>5</v>
      </c>
      <c r="D147" s="137">
        <f>'DOE25'!H484</f>
        <v>5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520000</v>
      </c>
      <c r="C148" s="137">
        <f>'DOE25'!G485</f>
        <v>435000</v>
      </c>
      <c r="D148" s="137">
        <f>'DOE25'!H485</f>
        <v>8005000</v>
      </c>
      <c r="E148" s="137">
        <f>'DOE25'!I485</f>
        <v>0</v>
      </c>
      <c r="F148" s="137">
        <f>'DOE25'!J485</f>
        <v>0</v>
      </c>
      <c r="G148" s="138">
        <f>SUM(B148:F148)</f>
        <v>8960000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130000</v>
      </c>
      <c r="C150" s="137">
        <f>'DOE25'!G487</f>
        <v>65000</v>
      </c>
      <c r="D150" s="137">
        <f>'DOE25'!H487</f>
        <v>620000</v>
      </c>
      <c r="E150" s="137">
        <f>'DOE25'!I487</f>
        <v>0</v>
      </c>
      <c r="F150" s="137">
        <f>'DOE25'!J487</f>
        <v>0</v>
      </c>
      <c r="G150" s="138">
        <f t="shared" si="0"/>
        <v>815000</v>
      </c>
    </row>
    <row r="151" spans="1:7" x14ac:dyDescent="0.2">
      <c r="A151" s="22" t="s">
        <v>35</v>
      </c>
      <c r="B151" s="137">
        <f>'DOE25'!F488</f>
        <v>390000</v>
      </c>
      <c r="C151" s="137">
        <f>'DOE25'!G488</f>
        <v>370000</v>
      </c>
      <c r="D151" s="137">
        <f>'DOE25'!H488</f>
        <v>7385000</v>
      </c>
      <c r="E151" s="137">
        <f>'DOE25'!I488</f>
        <v>0</v>
      </c>
      <c r="F151" s="137">
        <f>'DOE25'!J488</f>
        <v>0</v>
      </c>
      <c r="G151" s="138">
        <f t="shared" si="0"/>
        <v>8145000</v>
      </c>
    </row>
    <row r="152" spans="1:7" x14ac:dyDescent="0.2">
      <c r="A152" s="22" t="s">
        <v>36</v>
      </c>
      <c r="B152" s="137">
        <f>'DOE25'!F489</f>
        <v>22490</v>
      </c>
      <c r="C152" s="137">
        <f>'DOE25'!G489</f>
        <v>54500</v>
      </c>
      <c r="D152" s="137">
        <f>'DOE25'!H489</f>
        <v>2111856.2599999998</v>
      </c>
      <c r="E152" s="137">
        <f>'DOE25'!I489</f>
        <v>0</v>
      </c>
      <c r="F152" s="137">
        <f>'DOE25'!J489</f>
        <v>0</v>
      </c>
      <c r="G152" s="138">
        <f t="shared" si="0"/>
        <v>2188846.2599999998</v>
      </c>
    </row>
    <row r="153" spans="1:7" x14ac:dyDescent="0.2">
      <c r="A153" s="22" t="s">
        <v>37</v>
      </c>
      <c r="B153" s="137">
        <f>'DOE25'!F490</f>
        <v>412490</v>
      </c>
      <c r="C153" s="137">
        <f>'DOE25'!G490</f>
        <v>424500</v>
      </c>
      <c r="D153" s="137">
        <f>'DOE25'!H490</f>
        <v>9496856.2599999998</v>
      </c>
      <c r="E153" s="137">
        <f>'DOE25'!I490</f>
        <v>0</v>
      </c>
      <c r="F153" s="137">
        <f>'DOE25'!J490</f>
        <v>0</v>
      </c>
      <c r="G153" s="138">
        <f t="shared" si="0"/>
        <v>10333846.26</v>
      </c>
    </row>
    <row r="154" spans="1:7" x14ac:dyDescent="0.2">
      <c r="A154" s="22" t="s">
        <v>38</v>
      </c>
      <c r="B154" s="137">
        <f>'DOE25'!F491</f>
        <v>130000</v>
      </c>
      <c r="C154" s="137">
        <f>'DOE25'!G491</f>
        <v>65000</v>
      </c>
      <c r="D154" s="137">
        <f>'DOE25'!H491</f>
        <v>620000</v>
      </c>
      <c r="E154" s="137">
        <f>'DOE25'!I491</f>
        <v>0</v>
      </c>
      <c r="F154" s="137">
        <f>'DOE25'!J491</f>
        <v>0</v>
      </c>
      <c r="G154" s="138">
        <f t="shared" si="0"/>
        <v>815000</v>
      </c>
    </row>
    <row r="155" spans="1:7" x14ac:dyDescent="0.2">
      <c r="A155" s="22" t="s">
        <v>39</v>
      </c>
      <c r="B155" s="137">
        <f>'DOE25'!F492</f>
        <v>12415</v>
      </c>
      <c r="C155" s="137">
        <f>'DOE25'!G492</f>
        <v>16875</v>
      </c>
      <c r="D155" s="137">
        <f>'DOE25'!H492</f>
        <v>335275</v>
      </c>
      <c r="E155" s="137">
        <f>'DOE25'!I492</f>
        <v>0</v>
      </c>
      <c r="F155" s="137">
        <f>'DOE25'!J492</f>
        <v>0</v>
      </c>
      <c r="G155" s="138">
        <f t="shared" si="0"/>
        <v>364565</v>
      </c>
    </row>
    <row r="156" spans="1:7" x14ac:dyDescent="0.2">
      <c r="A156" s="22" t="s">
        <v>269</v>
      </c>
      <c r="B156" s="137">
        <f>'DOE25'!F493</f>
        <v>142415</v>
      </c>
      <c r="C156" s="137">
        <f>'DOE25'!G493</f>
        <v>81875</v>
      </c>
      <c r="D156" s="137">
        <f>'DOE25'!H493</f>
        <v>955275</v>
      </c>
      <c r="E156" s="137">
        <f>'DOE25'!I493</f>
        <v>0</v>
      </c>
      <c r="F156" s="137">
        <f>'DOE25'!J493</f>
        <v>0</v>
      </c>
      <c r="G156" s="138">
        <f t="shared" si="0"/>
        <v>1179565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79B6-D8F4-483F-815E-C3DC7363DB3A}">
  <sheetPr codeName="Sheet3">
    <tabColor indexed="43"/>
  </sheetPr>
  <dimension ref="A1:D42"/>
  <sheetViews>
    <sheetView topLeftCell="A7"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Jaffrey-Rindge Cooperative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11565</v>
      </c>
    </row>
    <row r="5" spans="1:4" x14ac:dyDescent="0.2">
      <c r="B5" t="s">
        <v>735</v>
      </c>
      <c r="C5" s="179">
        <f>IF('DOE25'!G655+'DOE25'!G660=0,0,ROUND('DOE25'!G662,0))</f>
        <v>12609</v>
      </c>
    </row>
    <row r="6" spans="1:4" x14ac:dyDescent="0.2">
      <c r="B6" t="s">
        <v>62</v>
      </c>
      <c r="C6" s="179">
        <f>IF('DOE25'!H655+'DOE25'!H660=0,0,ROUND('DOE25'!H662,0))</f>
        <v>11644</v>
      </c>
    </row>
    <row r="7" spans="1:4" x14ac:dyDescent="0.2">
      <c r="B7" t="s">
        <v>736</v>
      </c>
      <c r="C7" s="179">
        <f>IF('DOE25'!I655+'DOE25'!I660=0,0,ROUND('DOE25'!I662,0))</f>
        <v>11820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7683770</v>
      </c>
      <c r="D10" s="182">
        <f>ROUND((C10/$C$28)*100,1)</f>
        <v>35.4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4589115</v>
      </c>
      <c r="D11" s="182">
        <f>ROUND((C11/$C$28)*100,1)</f>
        <v>21.2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575405</v>
      </c>
      <c r="D12" s="182">
        <f>ROUND((C12/$C$28)*100,1)</f>
        <v>2.7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295174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1590966</v>
      </c>
      <c r="D15" s="182">
        <f t="shared" ref="D15:D27" si="0">ROUND((C15/$C$28)*100,1)</f>
        <v>7.3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772856</v>
      </c>
      <c r="D16" s="182">
        <f t="shared" si="0"/>
        <v>3.6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851723</v>
      </c>
      <c r="D17" s="182">
        <f t="shared" si="0"/>
        <v>3.9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1081315</v>
      </c>
      <c r="D18" s="182">
        <f t="shared" si="0"/>
        <v>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431170</v>
      </c>
      <c r="D19" s="182">
        <f t="shared" si="0"/>
        <v>2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1935016</v>
      </c>
      <c r="D20" s="182">
        <f t="shared" si="0"/>
        <v>8.9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1186548</v>
      </c>
      <c r="D21" s="182">
        <f t="shared" si="0"/>
        <v>5.5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3559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6967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400330</v>
      </c>
      <c r="D25" s="182">
        <f t="shared" si="0"/>
        <v>1.8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292369.3</v>
      </c>
      <c r="D27" s="182">
        <f t="shared" si="0"/>
        <v>1.3</v>
      </c>
    </row>
    <row r="28" spans="1:4" x14ac:dyDescent="0.2">
      <c r="B28" s="187" t="s">
        <v>754</v>
      </c>
      <c r="C28" s="180">
        <f>SUM(C10:C27)</f>
        <v>21696283.300000001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562908</v>
      </c>
    </row>
    <row r="30" spans="1:4" x14ac:dyDescent="0.2">
      <c r="B30" s="187" t="s">
        <v>760</v>
      </c>
      <c r="C30" s="180">
        <f>SUM(C28:C29)</f>
        <v>22259191.300000001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815000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12436543</v>
      </c>
      <c r="D35" s="182">
        <f t="shared" ref="D35:D40" si="1">ROUND((C35/$C$41)*100,1)</f>
        <v>56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204619.72999999858</v>
      </c>
      <c r="D36" s="182">
        <f t="shared" si="1"/>
        <v>0.9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6106712</v>
      </c>
      <c r="D37" s="182">
        <f t="shared" si="1"/>
        <v>27.5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2089915</v>
      </c>
      <c r="D38" s="182">
        <f t="shared" si="1"/>
        <v>9.4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1384287</v>
      </c>
      <c r="D39" s="182">
        <f t="shared" si="1"/>
        <v>6.2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22222076.729999997</v>
      </c>
      <c r="D41" s="184">
        <f>SUM(D35:D40)</f>
        <v>100.00000000000001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9BDB-34FF-4B62-A99E-1CA74EF9179F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Jaffrey-Rindge Cooperative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893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7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IP30:IV30"/>
    <mergeCell ref="FC30:FM30"/>
    <mergeCell ref="FP30:FZ30"/>
    <mergeCell ref="GC30:GM30"/>
    <mergeCell ref="GP30:GZ30"/>
    <mergeCell ref="DC30:DM30"/>
    <mergeCell ref="DP30:DZ30"/>
    <mergeCell ref="EC30:EM30"/>
    <mergeCell ref="EP30:EZ30"/>
    <mergeCell ref="BC31:BM31"/>
    <mergeCell ref="BC32:BM32"/>
    <mergeCell ref="BC39:BM39"/>
    <mergeCell ref="HC30:HM30"/>
    <mergeCell ref="HP30:HZ30"/>
    <mergeCell ref="IC30:IM30"/>
    <mergeCell ref="BC30:BM30"/>
    <mergeCell ref="BP30:BZ30"/>
    <mergeCell ref="CC30:CM30"/>
    <mergeCell ref="CP30:CZ30"/>
    <mergeCell ref="EC31:EM31"/>
    <mergeCell ref="EP31:EZ31"/>
    <mergeCell ref="FC31:FM31"/>
    <mergeCell ref="BP31:BZ31"/>
    <mergeCell ref="CC31:CM31"/>
    <mergeCell ref="CP31:CZ31"/>
    <mergeCell ref="DC31:DM31"/>
    <mergeCell ref="IC31:IM31"/>
    <mergeCell ref="IP31:IV31"/>
    <mergeCell ref="CP32:CZ32"/>
    <mergeCell ref="HP32:HZ32"/>
    <mergeCell ref="IC32:IM32"/>
    <mergeCell ref="IP32:IV32"/>
    <mergeCell ref="FC32:FM32"/>
    <mergeCell ref="FP32:FZ32"/>
    <mergeCell ref="GC32:GM32"/>
    <mergeCell ref="FP31:FZ31"/>
    <mergeCell ref="AC38:AM38"/>
    <mergeCell ref="AP38:AZ38"/>
    <mergeCell ref="C43:M43"/>
    <mergeCell ref="P40:Z40"/>
    <mergeCell ref="AC40:AM40"/>
    <mergeCell ref="HP31:HZ31"/>
    <mergeCell ref="GC31:GM31"/>
    <mergeCell ref="GP31:GZ31"/>
    <mergeCell ref="HC31:HM31"/>
    <mergeCell ref="DP31:DZ31"/>
    <mergeCell ref="HC32:HM32"/>
    <mergeCell ref="DC32:DM32"/>
    <mergeCell ref="DP32:DZ32"/>
    <mergeCell ref="EC32:EM32"/>
    <mergeCell ref="EP32:EZ32"/>
    <mergeCell ref="C44:M44"/>
    <mergeCell ref="P32:Z32"/>
    <mergeCell ref="AC32:AM32"/>
    <mergeCell ref="AP32:AZ32"/>
    <mergeCell ref="P38:Z38"/>
    <mergeCell ref="BP32:BZ32"/>
    <mergeCell ref="BC38:BM38"/>
    <mergeCell ref="BP38:BZ38"/>
    <mergeCell ref="CC38:CM38"/>
    <mergeCell ref="CC32:CM32"/>
    <mergeCell ref="GP32:GZ32"/>
    <mergeCell ref="IC38:IM38"/>
    <mergeCell ref="EP38:EZ38"/>
    <mergeCell ref="FC38:FM38"/>
    <mergeCell ref="FP38:FZ38"/>
    <mergeCell ref="GC38:GM38"/>
    <mergeCell ref="CP38:CZ38"/>
    <mergeCell ref="DC38:DM38"/>
    <mergeCell ref="DP38:DZ38"/>
    <mergeCell ref="EC38:EM38"/>
    <mergeCell ref="C51:M51"/>
    <mergeCell ref="P39:Z39"/>
    <mergeCell ref="AC39:AM39"/>
    <mergeCell ref="AP39:AZ39"/>
    <mergeCell ref="HP39:HZ39"/>
    <mergeCell ref="IC39:IM39"/>
    <mergeCell ref="AP40:AZ40"/>
    <mergeCell ref="C42:M42"/>
    <mergeCell ref="FP39:FZ39"/>
    <mergeCell ref="GC39:GM39"/>
    <mergeCell ref="GP39:GZ39"/>
    <mergeCell ref="IP38:IV38"/>
    <mergeCell ref="CC39:CM39"/>
    <mergeCell ref="CP39:CZ39"/>
    <mergeCell ref="IP39:IV39"/>
    <mergeCell ref="GP38:GZ38"/>
    <mergeCell ref="HC38:HM38"/>
    <mergeCell ref="HP38:HZ38"/>
    <mergeCell ref="BP39:BZ39"/>
    <mergeCell ref="BC40:BM40"/>
    <mergeCell ref="BP40:BZ40"/>
    <mergeCell ref="FC40:FM40"/>
    <mergeCell ref="HC39:HM39"/>
    <mergeCell ref="DC39:DM39"/>
    <mergeCell ref="DP39:DZ39"/>
    <mergeCell ref="EC39:EM39"/>
    <mergeCell ref="EP39:EZ39"/>
    <mergeCell ref="FC39:FM39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EP40:EZ40"/>
    <mergeCell ref="FP40:FZ40"/>
    <mergeCell ref="C52:M52"/>
    <mergeCell ref="C50:M50"/>
    <mergeCell ref="C47:M47"/>
    <mergeCell ref="C48:M48"/>
    <mergeCell ref="C49:M49"/>
    <mergeCell ref="IC40:IM40"/>
    <mergeCell ref="CC40:CM40"/>
    <mergeCell ref="CP40:CZ40"/>
    <mergeCell ref="DC40:DM40"/>
    <mergeCell ref="DP40:DZ40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2010-09-28T17:02:43Z</cp:lastPrinted>
  <dcterms:created xsi:type="dcterms:W3CDTF">1997-12-04T19:04:30Z</dcterms:created>
  <dcterms:modified xsi:type="dcterms:W3CDTF">2025-01-02T14:54:27Z</dcterms:modified>
</cp:coreProperties>
</file>