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B46E339C-B8B9-401E-B42D-2B0493D3E09B}" xr6:coauthVersionLast="47" xr6:coauthVersionMax="47" xr10:uidLastSave="{00000000-0000-0000-0000-000000000000}"/>
  <workbookProtection workbookPassword="B70A" lockStructure="1"/>
  <bookViews>
    <workbookView xWindow="2895" yWindow="2895" windowWidth="21600" windowHeight="11505" tabRatio="855" xr2:uid="{C7FAEF8C-7EA3-47B3-8781-FECF7E041C6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8" i="1" l="1"/>
  <c r="G518" i="1"/>
  <c r="F518" i="1"/>
  <c r="L518" i="1" s="1"/>
  <c r="K313" i="1"/>
  <c r="F459" i="1"/>
  <c r="H513" i="1"/>
  <c r="H359" i="1"/>
  <c r="H312" i="1"/>
  <c r="H235" i="1"/>
  <c r="H233" i="1"/>
  <c r="L233" i="1" s="1"/>
  <c r="H232" i="1"/>
  <c r="L232" i="1" s="1"/>
  <c r="C112" i="2" s="1"/>
  <c r="H231" i="1"/>
  <c r="L231" i="1" s="1"/>
  <c r="H230" i="1"/>
  <c r="L230" i="1" s="1"/>
  <c r="H228" i="1"/>
  <c r="H226" i="1"/>
  <c r="H225" i="1"/>
  <c r="C60" i="2"/>
  <c r="B2" i="13"/>
  <c r="F8" i="13"/>
  <c r="G8" i="13"/>
  <c r="L196" i="1"/>
  <c r="L214" i="1"/>
  <c r="D39" i="13"/>
  <c r="F13" i="13"/>
  <c r="G13" i="13"/>
  <c r="L198" i="1"/>
  <c r="C114" i="2" s="1"/>
  <c r="L216" i="1"/>
  <c r="L234" i="1"/>
  <c r="F16" i="13"/>
  <c r="G16" i="13"/>
  <c r="L201" i="1"/>
  <c r="L219" i="1"/>
  <c r="C117" i="2"/>
  <c r="L237" i="1"/>
  <c r="F5" i="13"/>
  <c r="D5" i="13" s="1"/>
  <c r="G5" i="13"/>
  <c r="L189" i="1"/>
  <c r="L190" i="1"/>
  <c r="L191" i="1"/>
  <c r="L192" i="1"/>
  <c r="L207" i="1"/>
  <c r="L208" i="1"/>
  <c r="L209" i="1"/>
  <c r="L221" i="1" s="1"/>
  <c r="L210" i="1"/>
  <c r="C104" i="2" s="1"/>
  <c r="L225" i="1"/>
  <c r="C10" i="10" s="1"/>
  <c r="L226" i="1"/>
  <c r="C102" i="2" s="1"/>
  <c r="L227" i="1"/>
  <c r="L228" i="1"/>
  <c r="F6" i="13"/>
  <c r="G6" i="13"/>
  <c r="L194" i="1"/>
  <c r="L212" i="1"/>
  <c r="F7" i="13"/>
  <c r="G7" i="13"/>
  <c r="G33" i="13" s="1"/>
  <c r="L195" i="1"/>
  <c r="L213" i="1"/>
  <c r="F12" i="13"/>
  <c r="G12" i="13"/>
  <c r="L197" i="1"/>
  <c r="L215" i="1"/>
  <c r="F14" i="13"/>
  <c r="G14" i="13"/>
  <c r="L199" i="1"/>
  <c r="C115" i="2" s="1"/>
  <c r="L217" i="1"/>
  <c r="L235" i="1"/>
  <c r="F15" i="13"/>
  <c r="D15" i="13" s="1"/>
  <c r="C15" i="13" s="1"/>
  <c r="G15" i="13"/>
  <c r="L200" i="1"/>
  <c r="L218" i="1"/>
  <c r="L236" i="1"/>
  <c r="F17" i="13"/>
  <c r="G17" i="13"/>
  <c r="L243" i="1"/>
  <c r="C106" i="2" s="1"/>
  <c r="D17" i="13"/>
  <c r="C17" i="13" s="1"/>
  <c r="F18" i="13"/>
  <c r="G18" i="13"/>
  <c r="L244" i="1"/>
  <c r="F19" i="13"/>
  <c r="G19" i="13"/>
  <c r="L245" i="1"/>
  <c r="D19" i="13" s="1"/>
  <c r="C19" i="13" s="1"/>
  <c r="F29" i="13"/>
  <c r="G29" i="13"/>
  <c r="L350" i="1"/>
  <c r="G651" i="1" s="1"/>
  <c r="L351" i="1"/>
  <c r="L352" i="1"/>
  <c r="I359" i="1"/>
  <c r="I361" i="1" s="1"/>
  <c r="H624" i="1" s="1"/>
  <c r="J624" i="1" s="1"/>
  <c r="J282" i="1"/>
  <c r="F31" i="13" s="1"/>
  <c r="J301" i="1"/>
  <c r="J320" i="1"/>
  <c r="K282" i="1"/>
  <c r="K301" i="1"/>
  <c r="K320" i="1"/>
  <c r="K330" i="1" s="1"/>
  <c r="K344" i="1" s="1"/>
  <c r="L268" i="1"/>
  <c r="E101" i="2" s="1"/>
  <c r="L269" i="1"/>
  <c r="E102" i="2" s="1"/>
  <c r="L270" i="1"/>
  <c r="L271" i="1"/>
  <c r="E104" i="2" s="1"/>
  <c r="L273" i="1"/>
  <c r="E110" i="2" s="1"/>
  <c r="L274" i="1"/>
  <c r="L275" i="1"/>
  <c r="L276" i="1"/>
  <c r="L277" i="1"/>
  <c r="E114" i="2" s="1"/>
  <c r="L278" i="1"/>
  <c r="L279" i="1"/>
  <c r="E116" i="2" s="1"/>
  <c r="L280" i="1"/>
  <c r="E117" i="2" s="1"/>
  <c r="L287" i="1"/>
  <c r="L301" i="1" s="1"/>
  <c r="L288" i="1"/>
  <c r="L289" i="1"/>
  <c r="E103" i="2" s="1"/>
  <c r="L290" i="1"/>
  <c r="L292" i="1"/>
  <c r="L293" i="1"/>
  <c r="L294" i="1"/>
  <c r="L295" i="1"/>
  <c r="L296" i="1"/>
  <c r="L297" i="1"/>
  <c r="L298" i="1"/>
  <c r="G652" i="1" s="1"/>
  <c r="L299" i="1"/>
  <c r="L306" i="1"/>
  <c r="L320" i="1" s="1"/>
  <c r="L307" i="1"/>
  <c r="L308" i="1"/>
  <c r="L309" i="1"/>
  <c r="L311" i="1"/>
  <c r="L312" i="1"/>
  <c r="L313" i="1"/>
  <c r="E112" i="2" s="1"/>
  <c r="L314" i="1"/>
  <c r="E113" i="2" s="1"/>
  <c r="L315" i="1"/>
  <c r="C19" i="10" s="1"/>
  <c r="L316" i="1"/>
  <c r="E115" i="2" s="1"/>
  <c r="L317" i="1"/>
  <c r="L318" i="1"/>
  <c r="L325" i="1"/>
  <c r="E106" i="2"/>
  <c r="L326" i="1"/>
  <c r="L327" i="1"/>
  <c r="L252" i="1"/>
  <c r="L253" i="1"/>
  <c r="C124" i="2" s="1"/>
  <c r="L333" i="1"/>
  <c r="C32" i="10" s="1"/>
  <c r="L334" i="1"/>
  <c r="E124" i="2" s="1"/>
  <c r="L247" i="1"/>
  <c r="C122" i="2" s="1"/>
  <c r="L328" i="1"/>
  <c r="E122" i="2" s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A13" i="12" s="1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 s="1"/>
  <c r="L387" i="1"/>
  <c r="L393" i="1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48" i="2"/>
  <c r="G55" i="2" s="1"/>
  <c r="G96" i="2" s="1"/>
  <c r="G51" i="2"/>
  <c r="G54" i="2" s="1"/>
  <c r="G53" i="2"/>
  <c r="F2" i="11"/>
  <c r="L603" i="1"/>
  <c r="H653" i="1"/>
  <c r="L602" i="1"/>
  <c r="G653" i="1"/>
  <c r="I653" i="1" s="1"/>
  <c r="L601" i="1"/>
  <c r="L604" i="1" s="1"/>
  <c r="C40" i="10"/>
  <c r="F52" i="1"/>
  <c r="C48" i="2" s="1"/>
  <c r="G52" i="1"/>
  <c r="H52" i="1"/>
  <c r="E48" i="2" s="1"/>
  <c r="I52" i="1"/>
  <c r="F71" i="1"/>
  <c r="C49" i="2"/>
  <c r="C54" i="2" s="1"/>
  <c r="F86" i="1"/>
  <c r="C50" i="2" s="1"/>
  <c r="C51" i="2"/>
  <c r="C53" i="2"/>
  <c r="F103" i="1"/>
  <c r="G103" i="1"/>
  <c r="H71" i="1"/>
  <c r="E49" i="2" s="1"/>
  <c r="E51" i="2"/>
  <c r="E53" i="2"/>
  <c r="H86" i="1"/>
  <c r="H104" i="1" s="1"/>
  <c r="H185" i="1" s="1"/>
  <c r="G619" i="1" s="1"/>
  <c r="J619" i="1" s="1"/>
  <c r="H103" i="1"/>
  <c r="I103" i="1"/>
  <c r="I104" i="1"/>
  <c r="J103" i="1"/>
  <c r="C37" i="10"/>
  <c r="F113" i="1"/>
  <c r="F128" i="1"/>
  <c r="F132" i="1"/>
  <c r="G113" i="1"/>
  <c r="G132" i="1" s="1"/>
  <c r="G128" i="1"/>
  <c r="H113" i="1"/>
  <c r="H132" i="1" s="1"/>
  <c r="H128" i="1"/>
  <c r="H154" i="1"/>
  <c r="I113" i="1"/>
  <c r="I128" i="1"/>
  <c r="I132" i="1"/>
  <c r="J113" i="1"/>
  <c r="J128" i="1"/>
  <c r="J132" i="1" s="1"/>
  <c r="F139" i="1"/>
  <c r="C77" i="2"/>
  <c r="C79" i="2"/>
  <c r="C80" i="2"/>
  <c r="C81" i="2"/>
  <c r="C82" i="2"/>
  <c r="C83" i="2"/>
  <c r="F154" i="1"/>
  <c r="F161" i="1" s="1"/>
  <c r="C39" i="10" s="1"/>
  <c r="G139" i="1"/>
  <c r="G154" i="1"/>
  <c r="G161" i="1"/>
  <c r="H139" i="1"/>
  <c r="H161" i="1"/>
  <c r="E80" i="2"/>
  <c r="I139" i="1"/>
  <c r="F77" i="2" s="1"/>
  <c r="F83" i="2" s="1"/>
  <c r="F79" i="2"/>
  <c r="F80" i="2"/>
  <c r="F81" i="2"/>
  <c r="I154" i="1"/>
  <c r="L242" i="1"/>
  <c r="C23" i="10" s="1"/>
  <c r="L324" i="1"/>
  <c r="L246" i="1"/>
  <c r="L260" i="1"/>
  <c r="L261" i="1"/>
  <c r="C135" i="2" s="1"/>
  <c r="L341" i="1"/>
  <c r="E134" i="2" s="1"/>
  <c r="L342" i="1"/>
  <c r="E135" i="2" s="1"/>
  <c r="I655" i="1"/>
  <c r="I660" i="1"/>
  <c r="I659" i="1"/>
  <c r="C5" i="10"/>
  <c r="C4" i="10"/>
  <c r="C42" i="10"/>
  <c r="L366" i="1"/>
  <c r="F122" i="2" s="1"/>
  <c r="F136" i="2" s="1"/>
  <c r="L367" i="1"/>
  <c r="L368" i="1"/>
  <c r="L369" i="1"/>
  <c r="L370" i="1"/>
  <c r="L371" i="1"/>
  <c r="L372" i="1"/>
  <c r="B2" i="10"/>
  <c r="L336" i="1"/>
  <c r="E126" i="2" s="1"/>
  <c r="L337" i="1"/>
  <c r="E127" i="2" s="1"/>
  <c r="L338" i="1"/>
  <c r="E129" i="2" s="1"/>
  <c r="L339" i="1"/>
  <c r="K343" i="1"/>
  <c r="L511" i="1"/>
  <c r="F539" i="1" s="1"/>
  <c r="L512" i="1"/>
  <c r="F540" i="1"/>
  <c r="L513" i="1"/>
  <c r="F541" i="1" s="1"/>
  <c r="L516" i="1"/>
  <c r="G539" i="1"/>
  <c r="L517" i="1"/>
  <c r="G540" i="1" s="1"/>
  <c r="L521" i="1"/>
  <c r="H539" i="1"/>
  <c r="H542" i="1" s="1"/>
  <c r="L522" i="1"/>
  <c r="L524" i="1" s="1"/>
  <c r="H540" i="1"/>
  <c r="L523" i="1"/>
  <c r="H541" i="1" s="1"/>
  <c r="L526" i="1"/>
  <c r="I539" i="1" s="1"/>
  <c r="L527" i="1"/>
  <c r="I540" i="1" s="1"/>
  <c r="L528" i="1"/>
  <c r="I541" i="1" s="1"/>
  <c r="L531" i="1"/>
  <c r="L534" i="1" s="1"/>
  <c r="J539" i="1"/>
  <c r="L532" i="1"/>
  <c r="J540" i="1" s="1"/>
  <c r="L533" i="1"/>
  <c r="J541" i="1" s="1"/>
  <c r="K262" i="1"/>
  <c r="J262" i="1"/>
  <c r="I262" i="1"/>
  <c r="H262" i="1"/>
  <c r="G262" i="1"/>
  <c r="F262" i="1"/>
  <c r="L262" i="1" s="1"/>
  <c r="C123" i="2"/>
  <c r="A1" i="2"/>
  <c r="A2" i="2"/>
  <c r="C9" i="2"/>
  <c r="D9" i="2"/>
  <c r="E9" i="2"/>
  <c r="F9" i="2"/>
  <c r="I431" i="1"/>
  <c r="J9" i="1"/>
  <c r="J19" i="1" s="1"/>
  <c r="G611" i="1" s="1"/>
  <c r="G9" i="2"/>
  <c r="C10" i="2"/>
  <c r="D10" i="2"/>
  <c r="D19" i="2" s="1"/>
  <c r="E10" i="2"/>
  <c r="E19" i="2" s="1"/>
  <c r="F10" i="2"/>
  <c r="F19" i="2" s="1"/>
  <c r="I432" i="1"/>
  <c r="J10" i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C19" i="2" s="1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/>
  <c r="C22" i="2"/>
  <c r="C32" i="2" s="1"/>
  <c r="C43" i="2" s="1"/>
  <c r="D22" i="2"/>
  <c r="D32" i="2" s="1"/>
  <c r="E22" i="2"/>
  <c r="F22" i="2"/>
  <c r="I440" i="1"/>
  <c r="J23" i="1" s="1"/>
  <c r="C23" i="2"/>
  <c r="C24" i="2"/>
  <c r="C25" i="2"/>
  <c r="C26" i="2"/>
  <c r="C27" i="2"/>
  <c r="C28" i="2"/>
  <c r="C29" i="2"/>
  <c r="C30" i="2"/>
  <c r="C31" i="2"/>
  <c r="D23" i="2"/>
  <c r="E23" i="2"/>
  <c r="F23" i="2"/>
  <c r="I441" i="1"/>
  <c r="J24" i="1" s="1"/>
  <c r="G23" i="2" s="1"/>
  <c r="D24" i="2"/>
  <c r="E24" i="2"/>
  <c r="E32" i="2" s="1"/>
  <c r="F24" i="2"/>
  <c r="F32" i="2" s="1"/>
  <c r="I442" i="1"/>
  <c r="J25" i="1" s="1"/>
  <c r="G24" i="2" s="1"/>
  <c r="D25" i="2"/>
  <c r="E25" i="2"/>
  <c r="F25" i="2"/>
  <c r="F26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I443" i="1"/>
  <c r="J32" i="1" s="1"/>
  <c r="G31" i="2" s="1"/>
  <c r="C34" i="2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F42" i="2" s="1"/>
  <c r="F43" i="2" s="1"/>
  <c r="I446" i="1"/>
  <c r="I450" i="1" s="1"/>
  <c r="J37" i="1"/>
  <c r="C37" i="2"/>
  <c r="D37" i="2"/>
  <c r="E37" i="2"/>
  <c r="F37" i="2"/>
  <c r="I447" i="1"/>
  <c r="J38" i="1"/>
  <c r="G37" i="2" s="1"/>
  <c r="C38" i="2"/>
  <c r="C40" i="2"/>
  <c r="C41" i="2"/>
  <c r="C42" i="2"/>
  <c r="D38" i="2"/>
  <c r="E38" i="2"/>
  <c r="F38" i="2"/>
  <c r="I448" i="1"/>
  <c r="J40" i="1" s="1"/>
  <c r="D40" i="2"/>
  <c r="E40" i="2"/>
  <c r="F40" i="2"/>
  <c r="I449" i="1"/>
  <c r="J41" i="1"/>
  <c r="G40" i="2" s="1"/>
  <c r="D41" i="2"/>
  <c r="E41" i="2"/>
  <c r="F41" i="2"/>
  <c r="F48" i="2"/>
  <c r="D51" i="2"/>
  <c r="F51" i="2"/>
  <c r="F54" i="2" s="1"/>
  <c r="F55" i="2" s="1"/>
  <c r="D52" i="2"/>
  <c r="D53" i="2"/>
  <c r="F53" i="2"/>
  <c r="C58" i="2"/>
  <c r="C62" i="2" s="1"/>
  <c r="C59" i="2"/>
  <c r="C61" i="2"/>
  <c r="D61" i="2"/>
  <c r="D62" i="2"/>
  <c r="E61" i="2"/>
  <c r="E62" i="2" s="1"/>
  <c r="F61" i="2"/>
  <c r="F62" i="2" s="1"/>
  <c r="G61" i="2"/>
  <c r="G62" i="2" s="1"/>
  <c r="C64" i="2"/>
  <c r="C70" i="2" s="1"/>
  <c r="F64" i="2"/>
  <c r="F70" i="2" s="1"/>
  <c r="C65" i="2"/>
  <c r="F65" i="2"/>
  <c r="C66" i="2"/>
  <c r="C67" i="2"/>
  <c r="C68" i="2"/>
  <c r="E68" i="2"/>
  <c r="F68" i="2"/>
  <c r="C69" i="2"/>
  <c r="D69" i="2"/>
  <c r="D70" i="2"/>
  <c r="D71" i="2"/>
  <c r="D73" i="2"/>
  <c r="D96" i="2" s="1"/>
  <c r="E69" i="2"/>
  <c r="E70" i="2" s="1"/>
  <c r="E71" i="2"/>
  <c r="E72" i="2"/>
  <c r="F69" i="2"/>
  <c r="F85" i="2"/>
  <c r="F86" i="2"/>
  <c r="F88" i="2"/>
  <c r="F95" i="2" s="1"/>
  <c r="F89" i="2"/>
  <c r="F91" i="2"/>
  <c r="F92" i="2"/>
  <c r="F93" i="2"/>
  <c r="F94" i="2"/>
  <c r="G69" i="2"/>
  <c r="G70" i="2" s="1"/>
  <c r="G73" i="2" s="1"/>
  <c r="C71" i="2"/>
  <c r="C72" i="2"/>
  <c r="D77" i="2"/>
  <c r="D83" i="2" s="1"/>
  <c r="D80" i="2"/>
  <c r="E79" i="2"/>
  <c r="D81" i="2"/>
  <c r="E81" i="2"/>
  <c r="C85" i="2"/>
  <c r="C86" i="2"/>
  <c r="C89" i="2"/>
  <c r="C90" i="2"/>
  <c r="C91" i="2"/>
  <c r="C92" i="2"/>
  <c r="C95" i="2" s="1"/>
  <c r="C93" i="2"/>
  <c r="C94" i="2"/>
  <c r="D88" i="2"/>
  <c r="E88" i="2"/>
  <c r="G88" i="2"/>
  <c r="G95" i="2" s="1"/>
  <c r="D89" i="2"/>
  <c r="E89" i="2"/>
  <c r="E90" i="2"/>
  <c r="E91" i="2"/>
  <c r="E92" i="2"/>
  <c r="E93" i="2"/>
  <c r="E94" i="2"/>
  <c r="E95" i="2"/>
  <c r="G89" i="2"/>
  <c r="D90" i="2"/>
  <c r="G90" i="2"/>
  <c r="D91" i="2"/>
  <c r="D92" i="2"/>
  <c r="D93" i="2"/>
  <c r="D94" i="2"/>
  <c r="D107" i="2"/>
  <c r="F107" i="2"/>
  <c r="F137" i="2" s="1"/>
  <c r="G107" i="2"/>
  <c r="F120" i="2"/>
  <c r="G120" i="2"/>
  <c r="D126" i="2"/>
  <c r="D136" i="2"/>
  <c r="F126" i="2"/>
  <c r="K411" i="1"/>
  <c r="K419" i="1"/>
  <c r="K425" i="1"/>
  <c r="L255" i="1"/>
  <c r="C127" i="2" s="1"/>
  <c r="L256" i="1"/>
  <c r="C128" i="2"/>
  <c r="L257" i="1"/>
  <c r="C129" i="2" s="1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G150" i="2" s="1"/>
  <c r="E150" i="2"/>
  <c r="F150" i="2"/>
  <c r="B151" i="2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490" i="1"/>
  <c r="C153" i="2"/>
  <c r="H490" i="1"/>
  <c r="D153" i="2" s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G493" i="1"/>
  <c r="K493" i="1" s="1"/>
  <c r="C156" i="2"/>
  <c r="G156" i="2" s="1"/>
  <c r="H493" i="1"/>
  <c r="D156" i="2" s="1"/>
  <c r="I493" i="1"/>
  <c r="E156" i="2"/>
  <c r="J493" i="1"/>
  <c r="F156" i="2" s="1"/>
  <c r="F19" i="1"/>
  <c r="G19" i="1"/>
  <c r="G608" i="1" s="1"/>
  <c r="H19" i="1"/>
  <c r="G609" i="1"/>
  <c r="J609" i="1" s="1"/>
  <c r="I19" i="1"/>
  <c r="G610" i="1"/>
  <c r="F33" i="1"/>
  <c r="F43" i="1"/>
  <c r="F44" i="1"/>
  <c r="H607" i="1"/>
  <c r="G607" i="1"/>
  <c r="J607" i="1" s="1"/>
  <c r="G33" i="1"/>
  <c r="H33" i="1"/>
  <c r="I33" i="1"/>
  <c r="G43" i="1"/>
  <c r="G613" i="1"/>
  <c r="H43" i="1"/>
  <c r="G614" i="1" s="1"/>
  <c r="J614" i="1" s="1"/>
  <c r="H44" i="1"/>
  <c r="H609" i="1"/>
  <c r="I43" i="1"/>
  <c r="I44" i="1"/>
  <c r="H610" i="1" s="1"/>
  <c r="F169" i="1"/>
  <c r="I169" i="1"/>
  <c r="I184" i="1" s="1"/>
  <c r="I185" i="1" s="1"/>
  <c r="G620" i="1" s="1"/>
  <c r="J620" i="1" s="1"/>
  <c r="F175" i="1"/>
  <c r="F184" i="1" s="1"/>
  <c r="G175" i="1"/>
  <c r="G184" i="1" s="1"/>
  <c r="H175" i="1"/>
  <c r="I175" i="1"/>
  <c r="J175" i="1"/>
  <c r="J184" i="1" s="1"/>
  <c r="F180" i="1"/>
  <c r="G180" i="1"/>
  <c r="H180" i="1"/>
  <c r="H184" i="1"/>
  <c r="I180" i="1"/>
  <c r="F203" i="1"/>
  <c r="F249" i="1" s="1"/>
  <c r="F263" i="1" s="1"/>
  <c r="G203" i="1"/>
  <c r="H203" i="1"/>
  <c r="I203" i="1"/>
  <c r="J203" i="1"/>
  <c r="K203" i="1"/>
  <c r="K249" i="1" s="1"/>
  <c r="K263" i="1" s="1"/>
  <c r="F221" i="1"/>
  <c r="G221" i="1"/>
  <c r="H221" i="1"/>
  <c r="I221" i="1"/>
  <c r="I249" i="1" s="1"/>
  <c r="I263" i="1" s="1"/>
  <c r="J221" i="1"/>
  <c r="J249" i="1" s="1"/>
  <c r="K221" i="1"/>
  <c r="F239" i="1"/>
  <c r="G239" i="1"/>
  <c r="I239" i="1"/>
  <c r="J239" i="1"/>
  <c r="K239" i="1"/>
  <c r="F248" i="1"/>
  <c r="L248" i="1" s="1"/>
  <c r="G248" i="1"/>
  <c r="G249" i="1" s="1"/>
  <c r="G263" i="1" s="1"/>
  <c r="H248" i="1"/>
  <c r="I248" i="1"/>
  <c r="J248" i="1"/>
  <c r="K248" i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I301" i="1"/>
  <c r="F320" i="1"/>
  <c r="G320" i="1"/>
  <c r="H320" i="1"/>
  <c r="I320" i="1"/>
  <c r="I330" i="1"/>
  <c r="I344" i="1" s="1"/>
  <c r="F329" i="1"/>
  <c r="G329" i="1"/>
  <c r="H329" i="1"/>
  <c r="I329" i="1"/>
  <c r="J329" i="1"/>
  <c r="K329" i="1"/>
  <c r="F354" i="1"/>
  <c r="G354" i="1"/>
  <c r="H354" i="1"/>
  <c r="I354" i="1"/>
  <c r="G624" i="1"/>
  <c r="J354" i="1"/>
  <c r="K354" i="1"/>
  <c r="I360" i="1"/>
  <c r="F361" i="1"/>
  <c r="G361" i="1"/>
  <c r="H361" i="1"/>
  <c r="L373" i="1"/>
  <c r="L374" i="1"/>
  <c r="G626" i="1" s="1"/>
  <c r="J626" i="1" s="1"/>
  <c r="F374" i="1"/>
  <c r="G374" i="1"/>
  <c r="H374" i="1"/>
  <c r="I374" i="1"/>
  <c r="J374" i="1"/>
  <c r="K374" i="1"/>
  <c r="F385" i="1"/>
  <c r="G385" i="1"/>
  <c r="H385" i="1"/>
  <c r="I385" i="1"/>
  <c r="I400" i="1" s="1"/>
  <c r="F393" i="1"/>
  <c r="F400" i="1" s="1"/>
  <c r="H633" i="1" s="1"/>
  <c r="G393" i="1"/>
  <c r="H393" i="1"/>
  <c r="I393" i="1"/>
  <c r="F399" i="1"/>
  <c r="G399" i="1"/>
  <c r="H399" i="1"/>
  <c r="H400" i="1"/>
  <c r="H634" i="1"/>
  <c r="J634" i="1" s="1"/>
  <c r="I399" i="1"/>
  <c r="L405" i="1"/>
  <c r="L406" i="1"/>
  <c r="L411" i="1" s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6" i="1"/>
  <c r="L417" i="1"/>
  <c r="L419" i="1" s="1"/>
  <c r="L418" i="1"/>
  <c r="F419" i="1"/>
  <c r="F426" i="1" s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38" i="1"/>
  <c r="G629" i="1" s="1"/>
  <c r="J629" i="1" s="1"/>
  <c r="G438" i="1"/>
  <c r="G630" i="1"/>
  <c r="H438" i="1"/>
  <c r="G631" i="1" s="1"/>
  <c r="I438" i="1"/>
  <c r="G632" i="1" s="1"/>
  <c r="F444" i="1"/>
  <c r="F451" i="1" s="1"/>
  <c r="H629" i="1" s="1"/>
  <c r="G444" i="1"/>
  <c r="H444" i="1"/>
  <c r="H451" i="1" s="1"/>
  <c r="H631" i="1" s="1"/>
  <c r="F450" i="1"/>
  <c r="G450" i="1"/>
  <c r="H450" i="1"/>
  <c r="G451" i="1"/>
  <c r="H630" i="1"/>
  <c r="J630" i="1"/>
  <c r="F460" i="1"/>
  <c r="F466" i="1"/>
  <c r="H612" i="1"/>
  <c r="G460" i="1"/>
  <c r="H460" i="1"/>
  <c r="I460" i="1"/>
  <c r="J460" i="1"/>
  <c r="F464" i="1"/>
  <c r="G464" i="1"/>
  <c r="G466" i="1"/>
  <c r="H613" i="1"/>
  <c r="J613" i="1" s="1"/>
  <c r="H464" i="1"/>
  <c r="I464" i="1"/>
  <c r="I466" i="1"/>
  <c r="H615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J535" i="1" s="1"/>
  <c r="K514" i="1"/>
  <c r="K535" i="1" s="1"/>
  <c r="F519" i="1"/>
  <c r="F535" i="1" s="1"/>
  <c r="G519" i="1"/>
  <c r="H519" i="1"/>
  <c r="H535" i="1" s="1"/>
  <c r="I519" i="1"/>
  <c r="J519" i="1"/>
  <c r="K519" i="1"/>
  <c r="F524" i="1"/>
  <c r="G524" i="1"/>
  <c r="G535" i="1" s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H550" i="1"/>
  <c r="H561" i="1" s="1"/>
  <c r="I550" i="1"/>
  <c r="J550" i="1"/>
  <c r="K550" i="1"/>
  <c r="K561" i="1" s="1"/>
  <c r="L552" i="1"/>
  <c r="L555" i="1" s="1"/>
  <c r="L553" i="1"/>
  <c r="L554" i="1"/>
  <c r="F555" i="1"/>
  <c r="G555" i="1"/>
  <c r="H555" i="1"/>
  <c r="I555" i="1"/>
  <c r="I561" i="1"/>
  <c r="J555" i="1"/>
  <c r="K555" i="1"/>
  <c r="L557" i="1"/>
  <c r="L560" i="1" s="1"/>
  <c r="L558" i="1"/>
  <c r="L559" i="1"/>
  <c r="F560" i="1"/>
  <c r="F561" i="1" s="1"/>
  <c r="G560" i="1"/>
  <c r="G561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J637" i="1" s="1"/>
  <c r="K585" i="1"/>
  <c r="K586" i="1"/>
  <c r="K587" i="1"/>
  <c r="H588" i="1"/>
  <c r="H639" i="1"/>
  <c r="I588" i="1"/>
  <c r="H640" i="1" s="1"/>
  <c r="J640" i="1" s="1"/>
  <c r="J588" i="1"/>
  <c r="H641" i="1" s="1"/>
  <c r="K592" i="1"/>
  <c r="K593" i="1"/>
  <c r="K594" i="1"/>
  <c r="K595" i="1"/>
  <c r="G638" i="1" s="1"/>
  <c r="H595" i="1"/>
  <c r="I595" i="1"/>
  <c r="J595" i="1"/>
  <c r="F604" i="1"/>
  <c r="G604" i="1"/>
  <c r="H604" i="1"/>
  <c r="I604" i="1"/>
  <c r="J604" i="1"/>
  <c r="K604" i="1"/>
  <c r="H617" i="1"/>
  <c r="H618" i="1"/>
  <c r="H619" i="1"/>
  <c r="H620" i="1"/>
  <c r="H621" i="1"/>
  <c r="H622" i="1"/>
  <c r="H623" i="1"/>
  <c r="H625" i="1"/>
  <c r="H626" i="1"/>
  <c r="H627" i="1"/>
  <c r="H628" i="1"/>
  <c r="G633" i="1"/>
  <c r="G634" i="1"/>
  <c r="G639" i="1"/>
  <c r="J639" i="1" s="1"/>
  <c r="G641" i="1"/>
  <c r="J641" i="1" s="1"/>
  <c r="G642" i="1"/>
  <c r="J642" i="1" s="1"/>
  <c r="H642" i="1"/>
  <c r="G643" i="1"/>
  <c r="H643" i="1"/>
  <c r="J643" i="1"/>
  <c r="G644" i="1"/>
  <c r="H644" i="1"/>
  <c r="J644" i="1"/>
  <c r="G645" i="1"/>
  <c r="J645" i="1" s="1"/>
  <c r="H645" i="1"/>
  <c r="E105" i="2"/>
  <c r="J561" i="1"/>
  <c r="H330" i="1"/>
  <c r="H344" i="1" s="1"/>
  <c r="L529" i="1"/>
  <c r="E42" i="2"/>
  <c r="E43" i="2" s="1"/>
  <c r="H637" i="1"/>
  <c r="C116" i="2"/>
  <c r="F652" i="1"/>
  <c r="I652" i="1" s="1"/>
  <c r="D54" i="2"/>
  <c r="I161" i="1"/>
  <c r="G104" i="1"/>
  <c r="G185" i="1" s="1"/>
  <c r="G618" i="1" s="1"/>
  <c r="J618" i="1" s="1"/>
  <c r="G44" i="1"/>
  <c r="H608" i="1" s="1"/>
  <c r="G612" i="1"/>
  <c r="B156" i="2"/>
  <c r="G155" i="2"/>
  <c r="K426" i="1"/>
  <c r="G126" i="2"/>
  <c r="G136" i="2" s="1"/>
  <c r="D95" i="2"/>
  <c r="E111" i="2"/>
  <c r="C24" i="10"/>
  <c r="D48" i="2"/>
  <c r="D55" i="2"/>
  <c r="F653" i="1"/>
  <c r="G640" i="1"/>
  <c r="G400" i="1"/>
  <c r="H635" i="1"/>
  <c r="J635" i="1" s="1"/>
  <c r="G151" i="2"/>
  <c r="G31" i="13"/>
  <c r="J330" i="1"/>
  <c r="J344" i="1"/>
  <c r="D18" i="13"/>
  <c r="C18" i="13" s="1"/>
  <c r="E13" i="13"/>
  <c r="C13" i="13"/>
  <c r="L329" i="1"/>
  <c r="G635" i="1"/>
  <c r="G615" i="1"/>
  <c r="J615" i="1" s="1"/>
  <c r="H466" i="1"/>
  <c r="H614" i="1"/>
  <c r="J466" i="1"/>
  <c r="H616" i="1"/>
  <c r="G36" i="2"/>
  <c r="E77" i="2"/>
  <c r="E83" i="2"/>
  <c r="J612" i="1"/>
  <c r="H652" i="1"/>
  <c r="J185" i="1" l="1"/>
  <c r="C5" i="13"/>
  <c r="J638" i="1"/>
  <c r="G22" i="2"/>
  <c r="G32" i="2" s="1"/>
  <c r="J33" i="1"/>
  <c r="L426" i="1"/>
  <c r="G628" i="1" s="1"/>
  <c r="J628" i="1" s="1"/>
  <c r="J608" i="1"/>
  <c r="K540" i="1"/>
  <c r="C55" i="2"/>
  <c r="C96" i="2" s="1"/>
  <c r="E8" i="13"/>
  <c r="C18" i="10"/>
  <c r="C113" i="2"/>
  <c r="D12" i="13"/>
  <c r="C12" i="13" s="1"/>
  <c r="J633" i="1"/>
  <c r="G153" i="2"/>
  <c r="E107" i="2"/>
  <c r="C131" i="2"/>
  <c r="C133" i="2" s="1"/>
  <c r="C136" i="2" s="1"/>
  <c r="L400" i="1"/>
  <c r="J542" i="1"/>
  <c r="C38" i="10"/>
  <c r="J631" i="1"/>
  <c r="C16" i="10"/>
  <c r="G650" i="1"/>
  <c r="G654" i="1" s="1"/>
  <c r="C17" i="10"/>
  <c r="L561" i="1"/>
  <c r="J263" i="1"/>
  <c r="H638" i="1"/>
  <c r="G137" i="2"/>
  <c r="E73" i="2"/>
  <c r="I542" i="1"/>
  <c r="K539" i="1"/>
  <c r="F542" i="1"/>
  <c r="F73" i="2"/>
  <c r="F96" i="2" s="1"/>
  <c r="G39" i="2"/>
  <c r="G42" i="2" s="1"/>
  <c r="G43" i="2" s="1"/>
  <c r="J43" i="1"/>
  <c r="G541" i="1"/>
  <c r="G542" i="1" s="1"/>
  <c r="L519" i="1"/>
  <c r="J610" i="1"/>
  <c r="C73" i="2"/>
  <c r="G19" i="2"/>
  <c r="E120" i="2"/>
  <c r="C110" i="2"/>
  <c r="C120" i="2" s="1"/>
  <c r="C15" i="10"/>
  <c r="D6" i="13"/>
  <c r="C6" i="13" s="1"/>
  <c r="H25" i="13"/>
  <c r="D29" i="13"/>
  <c r="C29" i="13" s="1"/>
  <c r="F651" i="1"/>
  <c r="L343" i="1"/>
  <c r="L239" i="1"/>
  <c r="H650" i="1" s="1"/>
  <c r="H654" i="1" s="1"/>
  <c r="L282" i="1"/>
  <c r="C111" i="2"/>
  <c r="C26" i="10"/>
  <c r="C105" i="2"/>
  <c r="C20" i="10"/>
  <c r="H651" i="1"/>
  <c r="C11" i="10"/>
  <c r="C29" i="10"/>
  <c r="E16" i="13"/>
  <c r="C16" i="13" s="1"/>
  <c r="F104" i="1"/>
  <c r="F185" i="1" s="1"/>
  <c r="G617" i="1" s="1"/>
  <c r="J617" i="1" s="1"/>
  <c r="C25" i="10"/>
  <c r="E50" i="2"/>
  <c r="E54" i="2" s="1"/>
  <c r="E55" i="2" s="1"/>
  <c r="E96" i="2" s="1"/>
  <c r="C12" i="10"/>
  <c r="C13" i="10"/>
  <c r="F22" i="13"/>
  <c r="C22" i="13" s="1"/>
  <c r="H239" i="1"/>
  <c r="H249" i="1" s="1"/>
  <c r="H263" i="1" s="1"/>
  <c r="E123" i="2"/>
  <c r="E136" i="2" s="1"/>
  <c r="C35" i="10"/>
  <c r="I444" i="1"/>
  <c r="I451" i="1" s="1"/>
  <c r="H632" i="1" s="1"/>
  <c r="J632" i="1" s="1"/>
  <c r="C103" i="2"/>
  <c r="D119" i="2"/>
  <c r="D120" i="2" s="1"/>
  <c r="D137" i="2" s="1"/>
  <c r="D14" i="13"/>
  <c r="C14" i="13" s="1"/>
  <c r="L203" i="1"/>
  <c r="C21" i="10"/>
  <c r="D7" i="13"/>
  <c r="C7" i="13" s="1"/>
  <c r="C101" i="2"/>
  <c r="L354" i="1"/>
  <c r="L514" i="1"/>
  <c r="L535" i="1" s="1"/>
  <c r="K542" i="1" l="1"/>
  <c r="F650" i="1"/>
  <c r="L249" i="1"/>
  <c r="L263" i="1" s="1"/>
  <c r="G622" i="1" s="1"/>
  <c r="J622" i="1" s="1"/>
  <c r="G662" i="1"/>
  <c r="G657" i="1"/>
  <c r="I651" i="1"/>
  <c r="E137" i="2"/>
  <c r="K541" i="1"/>
  <c r="H657" i="1"/>
  <c r="H662" i="1"/>
  <c r="C6" i="10" s="1"/>
  <c r="C25" i="13"/>
  <c r="H33" i="13"/>
  <c r="C36" i="10"/>
  <c r="C41" i="10" s="1"/>
  <c r="G616" i="1"/>
  <c r="J44" i="1"/>
  <c r="H611" i="1" s="1"/>
  <c r="J611" i="1" s="1"/>
  <c r="F33" i="13"/>
  <c r="G625" i="1"/>
  <c r="J625" i="1" s="1"/>
  <c r="C27" i="10"/>
  <c r="C107" i="2"/>
  <c r="C137" i="2" s="1"/>
  <c r="H636" i="1"/>
  <c r="G627" i="1"/>
  <c r="J627" i="1" s="1"/>
  <c r="L330" i="1"/>
  <c r="L344" i="1" s="1"/>
  <c r="G623" i="1" s="1"/>
  <c r="J623" i="1" s="1"/>
  <c r="D31" i="13"/>
  <c r="C31" i="13" s="1"/>
  <c r="E33" i="13"/>
  <c r="D35" i="13" s="1"/>
  <c r="C8" i="13"/>
  <c r="G621" i="1"/>
  <c r="J621" i="1" s="1"/>
  <c r="G636" i="1"/>
  <c r="J636" i="1" s="1"/>
  <c r="D37" i="10" l="1"/>
  <c r="D39" i="10"/>
  <c r="D40" i="10"/>
  <c r="D35" i="10"/>
  <c r="D38" i="10"/>
  <c r="D36" i="10"/>
  <c r="D33" i="13"/>
  <c r="D36" i="13" s="1"/>
  <c r="F654" i="1"/>
  <c r="I650" i="1"/>
  <c r="I654" i="1" s="1"/>
  <c r="J616" i="1"/>
  <c r="H646" i="1"/>
  <c r="C28" i="10"/>
  <c r="F657" i="1" l="1"/>
  <c r="F662" i="1"/>
  <c r="D41" i="10"/>
  <c r="D22" i="10"/>
  <c r="C30" i="10"/>
  <c r="D24" i="10"/>
  <c r="D23" i="10"/>
  <c r="D19" i="10"/>
  <c r="D10" i="10"/>
  <c r="D12" i="10"/>
  <c r="D25" i="10"/>
  <c r="D11" i="10"/>
  <c r="D26" i="10"/>
  <c r="D21" i="10"/>
  <c r="D15" i="10"/>
  <c r="D13" i="10"/>
  <c r="D16" i="10"/>
  <c r="D20" i="10"/>
  <c r="D17" i="10"/>
  <c r="D18" i="10"/>
  <c r="I662" i="1"/>
  <c r="C7" i="10" s="1"/>
  <c r="I657" i="1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4F5ACFE-5C5F-4DED-B81D-5EFE2633414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F914244-0697-4598-954B-FEDB23A39B9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8179A3B-C45E-4F7D-8834-F00AD835B25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F854217-270B-4221-8C7C-3676A6FA116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8E8B5F0-B15F-4AF3-BC4F-BC6AC7BD8B4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0AC87CD-7C8B-4DA9-99B1-73AB49AB7399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403EED7-0CDE-4156-9ED3-4456CA4D92B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DFA8B58-6AD9-4C46-BA9A-C55F322DE58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3A8036A-64E1-459C-9526-E96F244318F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E152C63-A562-486E-B875-CB7A9B1B5B5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D0A8971-6D20-449E-8194-E399DEF3DCA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BE51602-C61B-45F9-BC1E-3C57BAF18BD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<sst xmlns="http://schemas.openxmlformats.org/spreadsheetml/2006/main" count="3863" uniqueCount="898">
  <si>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</si>
  <si>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</si>
  <si>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</si>
  <si>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</si>
  <si>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</si>
  <si>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</si>
  <si>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</si>
  <si>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</si>
  <si>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</si>
  <si>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</si>
  <si>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</si>
  <si>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</si>
  <si>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</si>
  <si>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</si>
  <si>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</si>
  <si>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</si>
  <si>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</si>
  <si>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</si>
  <si>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</si>
  <si>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</si>
  <si>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</si>
  <si>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</si>
  <si>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</si>
  <si>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</si>
  <si>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</si>
  <si>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</si>
  <si>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</si>
  <si>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</si>
  <si>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</si>
  <si>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</si>
  <si>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</si>
  <si>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</si>
  <si>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</si>
  <si>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</si>
  <si>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</si>
  <si>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</si>
  <si>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</si>
  <si>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</si>
  <si>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</si>
  <si>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</si>
  <si>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</si>
  <si>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</si>
  <si>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</si>
  <si>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</si>
  <si>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</si>
  <si>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</si>
  <si>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</si>
  <si>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</si>
  <si>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</si>
  <si>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</si>
  <si>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</si>
  <si>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</si>
  <si>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</si>
  <si>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</si>
  <si>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</si>
  <si>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</si>
  <si>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</si>
  <si>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</si>
  <si>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</si>
  <si>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</si>
  <si>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</si>
  <si>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</si>
  <si>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</si>
  <si>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</si>
  <si>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</si>
  <si>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</si>
  <si>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</si>
  <si>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</si>
  <si>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</si>
  <si>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</si>
  <si>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</si>
  <si>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</si>
  <si>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</si>
  <si>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</si>
  <si>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</si>
  <si>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</si>
  <si>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</si>
  <si>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</si>
  <si>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</si>
  <si>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</si>
  <si>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</si>
  <si>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</si>
  <si>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</si>
  <si>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</si>
  <si>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</si>
  <si>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</si>
  <si>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</si>
  <si>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</si>
  <si>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</si>
  <si>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</si>
  <si>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</si>
  <si>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</si>
  <si>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</si>
  <si>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</si>
  <si>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</si>
  <si>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</si>
  <si>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</si>
  <si>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</si>
  <si>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</si>
  <si>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</si>
  <si>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</si>
  <si>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</si>
  <si>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</si>
  <si>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</si>
  <si>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</si>
  <si>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</si>
  <si>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</si>
  <si>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</si>
  <si>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</si>
  <si>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</si>
  <si>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</si>
  <si>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</si>
  <si>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</si>
  <si>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</si>
  <si>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</si>
  <si>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</si>
  <si>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</si>
  <si>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</si>
  <si>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</si>
  <si>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</si>
  <si>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</si>
  <si>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</si>
  <si>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</si>
  <si>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</si>
  <si>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</si>
  <si>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</si>
  <si>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</si>
  <si>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</si>
  <si>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</si>
  <si>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</si>
  <si>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</si>
  <si>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</si>
  <si>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</si>
  <si>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</si>
  <si>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</si>
  <si>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</si>
  <si>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</si>
  <si>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</si>
  <si>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</si>
  <si>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</si>
  <si>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</si>
  <si>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</si>
  <si>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</si>
  <si>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</si>
  <si>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</si>
  <si>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</si>
  <si>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</si>
  <si>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</si>
  <si>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</si>
  <si>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</si>
  <si>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</si>
  <si>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</si>
  <si>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</si>
  <si>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</si>
  <si>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</si>
  <si>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</si>
  <si>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</si>
  <si>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</si>
  <si>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</si>
  <si>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</si>
  <si>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</si>
  <si>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</si>
  <si>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</si>
  <si>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</si>
  <si>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</si>
  <si>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</si>
  <si>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</si>
  <si>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</si>
  <si>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</si>
  <si>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</si>
  <si>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</si>
  <si>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</si>
  <si>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</si>
  <si>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</si>
  <si>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</si>
  <si>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</si>
  <si>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</si>
  <si>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</si>
  <si>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</si>
  <si>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</si>
  <si>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</si>
  <si>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</si>
  <si>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</si>
  <si>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</si>
  <si>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</si>
  <si>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</si>
  <si>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</si>
  <si>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</si>
  <si>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</si>
  <si>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</si>
  <si>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</si>
  <si>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</si>
  <si>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</si>
  <si>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</si>
  <si>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</si>
  <si>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</si>
  <si>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</si>
  <si>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</si>
  <si>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</si>
  <si>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</si>
  <si>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</si>
  <si>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</si>
  <si>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</si>
  <si>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</si>
  <si>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</si>
  <si>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</si>
  <si>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</si>
  <si>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</si>
  <si>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</si>
  <si>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</si>
  <si>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</si>
  <si>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</si>
  <si>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</si>
  <si>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</si>
  <si>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</si>
  <si>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</si>
  <si>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</si>
  <si>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</si>
  <si>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</si>
  <si>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</si>
  <si>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</si>
  <si>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</si>
  <si>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</si>
  <si>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</si>
  <si>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</si>
  <si>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</si>
  <si>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</si>
  <si>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</si>
  <si>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</si>
  <si>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</si>
  <si>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</si>
  <si>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</si>
  <si>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</si>
  <si>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</si>
  <si>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</si>
  <si>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</si>
  <si>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</si>
  <si>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</si>
  <si>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</si>
  <si>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</si>
  <si>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</si>
  <si>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</si>
  <si>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</si>
  <si>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</si>
  <si>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</si>
  <si>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</si>
  <si>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</si>
  <si>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</si>
  <si>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</si>
  <si>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</si>
  <si>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</si>
  <si>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</si>
  <si>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</si>
  <si>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</si>
  <si>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</si>
  <si>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</si>
  <si>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</si>
  <si>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</si>
  <si>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</si>
  <si>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</si>
  <si>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</si>
  <si>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</si>
  <si>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</si>
  <si>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</si>
  <si>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</si>
  <si>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</si>
  <si>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</si>
  <si>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</si>
  <si>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</si>
  <si>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</si>
  <si>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</si>
  <si>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</si>
  <si>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</si>
  <si>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</si>
  <si>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</si>
  <si>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</si>
  <si>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</si>
  <si>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</si>
  <si>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</si>
  <si>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</si>
  <si>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</si>
  <si>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</si>
  <si>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</si>
  <si>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</si>
  <si>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</si>
  <si>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</si>
  <si>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</si>
  <si>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</si>
  <si>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</si>
  <si>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</si>
  <si>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</si>
  <si>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</si>
  <si>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</si>
  <si>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</si>
  <si>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</si>
  <si>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</si>
  <si>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</si>
  <si>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</si>
  <si>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</si>
  <si>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</si>
  <si>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</si>
  <si>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</si>
  <si>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</si>
  <si>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</si>
  <si>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</si>
  <si>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</si>
  <si>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</si>
  <si>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</si>
  <si>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</si>
  <si>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</si>
  <si>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</si>
  <si>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</si>
  <si>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</si>
  <si>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</si>
  <si>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</si>
  <si>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</si>
  <si>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</si>
  <si>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</si>
  <si>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</si>
  <si>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</si>
  <si>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</si>
  <si>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</si>
  <si>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</si>
  <si>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</si>
  <si>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</si>
  <si>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</si>
  <si>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</si>
  <si>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</si>
  <si>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</si>
  <si>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</si>
  <si>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</si>
  <si>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</si>
  <si>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</si>
  <si>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</si>
  <si>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</si>
  <si>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</si>
  <si>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</si>
  <si>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</si>
  <si>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</si>
  <si>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</si>
  <si>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</si>
  <si>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</si>
  <si>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</si>
  <si>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</si>
  <si>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</si>
  <si>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</si>
  <si>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</si>
  <si>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</si>
  <si>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</si>
  <si>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</si>
  <si>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</si>
  <si>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</si>
  <si>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</si>
  <si>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</si>
  <si>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</si>
  <si>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</si>
  <si>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</si>
  <si>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</si>
  <si>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</si>
  <si>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</si>
  <si>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</si>
  <si>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</si>
  <si>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</si>
  <si>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</si>
  <si>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</si>
  <si>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</si>
  <si>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</si>
  <si>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</si>
  <si>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</si>
  <si>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</si>
  <si>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</si>
  <si>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</si>
  <si>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</si>
  <si>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</si>
  <si>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</si>
  <si>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</si>
  <si>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</si>
  <si>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</si>
  <si>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</si>
  <si>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</si>
  <si>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</si>
  <si>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</si>
  <si>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</si>
  <si>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</si>
  <si>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</si>
  <si>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</si>
  <si>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</si>
  <si>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</si>
  <si>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</si>
  <si>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</si>
  <si>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</si>
  <si>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</si>
  <si>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</si>
  <si>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</si>
  <si>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</si>
  <si>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</si>
  <si>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</si>
  <si>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</si>
  <si>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</si>
  <si>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</si>
  <si>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</si>
  <si>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</si>
  <si>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</si>
  <si>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</si>
  <si>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</si>
  <si>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</si>
  <si>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</si>
  <si>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</si>
  <si>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</si>
  <si>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</si>
  <si>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</si>
  <si>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</si>
  <si>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</si>
  <si>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</si>
  <si>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</si>
  <si>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</si>
  <si>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</si>
  <si>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</si>
  <si>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</si>
  <si>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</si>
  <si>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</si>
  <si>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</si>
  <si>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</si>
  <si>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</si>
  <si>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</si>
  <si>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</si>
  <si>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</si>
  <si>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</si>
  <si>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</si>
  <si>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</si>
  <si>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</si>
  <si>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</si>
  <si>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</si>
  <si>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</si>
  <si>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</si>
  <si>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</si>
  <si>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</si>
  <si>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</si>
  <si>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</si>
  <si>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</si>
  <si>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</si>
  <si>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</si>
  <si>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</si>
  <si>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</si>
  <si>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</si>
  <si>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</si>
  <si>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</si>
  <si>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</si>
  <si>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</si>
  <si>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</si>
  <si>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</si>
  <si>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</si>
  <si>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</si>
  <si>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</si>
  <si>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</si>
  <si>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</si>
  <si>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</si>
  <si>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</si>
  <si>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</si>
  <si>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</si>
  <si>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</si>
  <si>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</si>
  <si>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</si>
  <si>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</si>
  <si>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</si>
  <si>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</si>
  <si>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</si>
  <si>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</si>
  <si>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</si>
  <si>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</si>
  <si>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</si>
  <si>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</si>
  <si>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</si>
  <si>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</si>
  <si>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</si>
  <si>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</si>
  <si>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</si>
  <si>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</si>
  <si>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</si>
  <si>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</si>
  <si>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</si>
  <si>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</si>
  <si>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</si>
  <si>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</si>
  <si>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</si>
  <si>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</si>
  <si>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</si>
  <si>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</si>
  <si>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</si>
  <si>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</si>
  <si>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</si>
  <si>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</si>
  <si>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</si>
  <si>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</si>
  <si>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</si>
  <si>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</si>
  <si>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</si>
  <si>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</si>
  <si>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</si>
  <si>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</si>
  <si>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</si>
  <si>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</si>
  <si>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</si>
  <si>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</si>
  <si>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</si>
  <si>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</si>
  <si>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</si>
  <si>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</si>
  <si>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</si>
  <si>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</si>
  <si>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</si>
  <si>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</si>
  <si>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</si>
  <si>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</si>
  <si>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</si>
  <si>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</si>
  <si>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</si>
  <si>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</si>
  <si>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</si>
  <si>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</si>
  <si>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</si>
  <si>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</si>
  <si>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</si>
  <si>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</si>
  <si>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</si>
  <si>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</si>
  <si>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</si>
  <si>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</si>
  <si>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</si>
  <si>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</si>
  <si>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</si>
  <si>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</si>
  <si>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</si>
  <si>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</si>
  <si>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</si>
  <si>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</si>
  <si>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</si>
  <si>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</si>
  <si>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</si>
  <si>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</si>
  <si>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</si>
  <si>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</si>
  <si>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</si>
  <si>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</si>
  <si>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</si>
  <si>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</si>
  <si>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</si>
  <si>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</si>
  <si>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</si>
  <si>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</si>
  <si>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</si>
  <si>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</si>
  <si>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</si>
  <si>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</si>
  <si>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</si>
  <si>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</si>
  <si>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</si>
  <si>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</si>
  <si>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</si>
  <si>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</si>
  <si>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</si>
  <si>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</si>
  <si>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</si>
  <si>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</si>
  <si>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</si>
  <si>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</si>
  <si>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</si>
  <si>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</si>
  <si>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</si>
  <si>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</si>
  <si>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</si>
  <si>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</si>
  <si>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</si>
  <si>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</si>
  <si>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</si>
  <si>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</si>
  <si>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</si>
  <si>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</si>
  <si>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</si>
  <si>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</si>
  <si>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</si>
  <si>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</si>
  <si>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</si>
  <si>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</si>
  <si>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</si>
  <si>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</si>
  <si>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</si>
  <si>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</si>
  <si>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</si>
  <si>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</si>
  <si>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</si>
  <si>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</si>
  <si>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</si>
  <si>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</si>
  <si>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</si>
  <si>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</si>
  <si>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</si>
  <si>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</si>
  <si>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</si>
  <si>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</si>
  <si>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</si>
  <si>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</si>
  <si>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</si>
  <si>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</si>
  <si>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</si>
  <si>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</si>
  <si>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</si>
  <si>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</si>
  <si>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</si>
  <si>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</si>
  <si>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</si>
  <si>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</si>
  <si>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</si>
  <si>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</si>
  <si>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</si>
  <si>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</si>
  <si>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</si>
  <si>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</si>
  <si>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</si>
  <si>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</si>
  <si>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</si>
  <si>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</si>
  <si>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</si>
  <si>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</si>
  <si>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</si>
  <si>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</si>
  <si>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</si>
  <si>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</si>
  <si>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</si>
  <si>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</si>
  <si>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</si>
  <si>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</si>
  <si>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</si>
  <si>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</si>
  <si>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</si>
  <si>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</si>
  <si>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</si>
  <si>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</si>
  <si>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</si>
  <si>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</si>
  <si>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</si>
  <si>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</si>
  <si>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</si>
  <si>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</si>
  <si>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</si>
  <si>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</si>
  <si>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</si>
  <si>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</si>
  <si>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</si>
  <si>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</si>
  <si>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</si>
  <si>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</si>
  <si>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</si>
  <si>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</si>
  <si>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</si>
  <si>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</si>
  <si>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</si>
  <si>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</si>
  <si>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</si>
  <si>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</si>
  <si>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</si>
  <si>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</si>
  <si>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</si>
  <si>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</si>
  <si>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</si>
  <si>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</si>
  <si>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</si>
  <si>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</si>
  <si>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</si>
  <si>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</si>
  <si>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</si>
  <si>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</si>
  <si>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</si>
  <si>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</si>
  <si>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</si>
  <si>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</si>
  <si>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</si>
  <si>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</si>
  <si>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</si>
  <si>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</si>
  <si>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</si>
  <si>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</si>
  <si>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</si>
  <si>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</si>
  <si>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</si>
  <si>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</si>
  <si>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</si>
  <si>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</si>
  <si>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</si>
  <si>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</si>
  <si>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</si>
  <si>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</si>
  <si>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</si>
  <si>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</si>
  <si>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</si>
  <si>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</si>
  <si>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</si>
  <si>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</si>
  <si>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</si>
  <si>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</si>
  <si>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</si>
  <si>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</si>
  <si>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</si>
  <si>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</si>
  <si>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</si>
  <si>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</si>
  <si>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</si>
  <si>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</si>
  <si>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</si>
  <si>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</si>
  <si>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</si>
  <si>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</si>
  <si>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</si>
  <si>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</si>
  <si>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</si>
  <si>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</si>
  <si>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</si>
  <si>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</si>
  <si>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</si>
  <si>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</si>
  <si>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</si>
  <si>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</si>
  <si>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</si>
  <si>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</si>
  <si>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</si>
  <si>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</si>
  <si>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</si>
  <si>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</si>
  <si>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</si>
  <si>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</si>
  <si>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</si>
  <si>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</si>
  <si>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</si>
  <si>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</si>
  <si>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</si>
  <si>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</si>
  <si>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</si>
  <si>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</si>
  <si>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</si>
  <si>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</si>
  <si>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</si>
  <si>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</si>
  <si>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</si>
  <si>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</si>
  <si>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</si>
  <si>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</si>
  <si>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</si>
  <si>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</si>
  <si>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</si>
  <si>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</si>
  <si>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</si>
  <si>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</si>
  <si>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</si>
  <si>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</si>
  <si>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</si>
  <si>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</si>
  <si>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</si>
  <si>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</si>
  <si>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</si>
  <si>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</si>
  <si>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</si>
  <si>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</si>
  <si>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</si>
  <si>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</si>
  <si>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</si>
  <si>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</si>
  <si>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</si>
  <si>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</si>
  <si>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</si>
  <si>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</si>
  <si>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</si>
  <si>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</si>
  <si>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</si>
  <si>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</si>
  <si>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</si>
  <si>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</si>
  <si>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</si>
  <si>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</si>
  <si>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</si>
  <si>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</si>
  <si>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</si>
  <si>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</si>
  <si>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</si>
  <si>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</si>
  <si>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</si>
  <si>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</si>
  <si>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</si>
  <si>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</si>
  <si>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</si>
  <si>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</si>
  <si>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</si>
  <si>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</si>
  <si>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</si>
  <si>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</si>
  <si>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</si>
  <si>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</si>
  <si>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</si>
  <si>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</si>
  <si>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</si>
  <si>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</si>
  <si>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</si>
  <si>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</si>
  <si>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</si>
  <si>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</si>
  <si>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</si>
  <si>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</si>
  <si>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</si>
  <si>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</si>
  <si>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</si>
  <si>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</si>
  <si>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</si>
  <si>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</si>
  <si>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</si>
  <si>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</si>
  <si>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</si>
  <si>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</si>
  <si>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</si>
  <si>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</si>
  <si>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</si>
  <si>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</si>
  <si>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</si>
  <si>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</si>
  <si>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</si>
  <si>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</si>
  <si>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</si>
  <si>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</si>
  <si>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</si>
  <si>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</si>
  <si>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</si>
  <si>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</si>
  <si>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</si>
  <si>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</si>
  <si>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</si>
  <si>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</si>
  <si>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</si>
  <si>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</si>
  <si>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</si>
  <si>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</si>
  <si>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</si>
  <si>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</si>
  <si>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</si>
  <si>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</si>
  <si>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</si>
  <si>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</si>
  <si>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</si>
  <si>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</si>
  <si>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</si>
  <si>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</si>
  <si>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</si>
  <si>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</si>
  <si>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</si>
  <si>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</si>
  <si>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</si>
  <si>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</si>
  <si>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</si>
  <si>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</si>
  <si>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</si>
  <si>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</si>
  <si>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</si>
  <si>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</si>
  <si>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</si>
  <si>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</si>
  <si>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</si>
  <si>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</si>
  <si>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</si>
  <si>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</si>
  <si>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</si>
  <si>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</si>
  <si>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</si>
  <si>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</si>
  <si>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</si>
  <si>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</si>
  <si>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</si>
  <si>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</si>
  <si>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</si>
  <si>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</si>
  <si>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</si>
  <si>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</si>
  <si>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</si>
  <si>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</si>
  <si>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</si>
  <si>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</si>
  <si>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</si>
  <si>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</si>
  <si>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</si>
  <si>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</si>
  <si>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</si>
  <si>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</si>
  <si>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</si>
  <si>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</si>
  <si>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</si>
  <si>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</si>
  <si>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</si>
  <si>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</si>
  <si>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7/22/04</t>
  </si>
  <si>
    <t>8/15/11</t>
  </si>
  <si>
    <t>LIABILITIES NOT PAID</t>
  </si>
  <si>
    <t>JOHN STARK REG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</si>
</sst>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8F7C-AE9C-4018-9FE3-E160FC78D42B}">
  <sheetPr transitionEvaluation="1" transitionEntry="1" codeName="Sheet1">
    <tabColor indexed="56"/>
  </sheetPr>
  <dimension ref="A1:AQ666"/>
  <sheetViews>
    <sheetView tabSelected="1" zoomScale="75" zoomScaleNormal="9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275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235128.02</v>
      </c>
      <c r="G9" s="18">
        <v>40371.4</v>
      </c>
      <c r="H9" s="18">
        <v>-22817.14</v>
      </c>
      <c r="I9" s="18">
        <v>0</v>
      </c>
      <c r="J9" s="67">
        <f>SUM(I431)</f>
        <v>189292.3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3394.75</v>
      </c>
      <c r="G12" s="18">
        <v>0</v>
      </c>
      <c r="H12" s="18">
        <v>0</v>
      </c>
      <c r="I12" s="18">
        <v>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3450</v>
      </c>
      <c r="G13" s="18">
        <v>2636.12</v>
      </c>
      <c r="H13" s="18">
        <v>23034.69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961.95</v>
      </c>
      <c r="G14" s="18">
        <v>0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242934.72</v>
      </c>
      <c r="G19" s="41">
        <f>SUM(G9:G18)</f>
        <v>43007.520000000004</v>
      </c>
      <c r="H19" s="41">
        <f>SUM(H9:H18)</f>
        <v>217.54999999999927</v>
      </c>
      <c r="I19" s="41">
        <f>SUM(I9:I18)</f>
        <v>0</v>
      </c>
      <c r="J19" s="41">
        <f>SUM(J9:J18)</f>
        <v>189292.3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96</v>
      </c>
      <c r="G25" s="18">
        <v>0</v>
      </c>
      <c r="H25" s="18">
        <v>0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3934.67</v>
      </c>
      <c r="G26" s="18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4030.67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20000</v>
      </c>
      <c r="G41" s="18">
        <v>43007.519999999997</v>
      </c>
      <c r="H41" s="18">
        <v>217.55</v>
      </c>
      <c r="I41" s="18">
        <v>0</v>
      </c>
      <c r="J41" s="13">
        <f>SUM(I449)</f>
        <v>189292.3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218904.05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238904.05</v>
      </c>
      <c r="G43" s="41">
        <f>SUM(G35:G42)</f>
        <v>43007.519999999997</v>
      </c>
      <c r="H43" s="41">
        <f>SUM(H35:H42)</f>
        <v>217.55</v>
      </c>
      <c r="I43" s="41">
        <f>SUM(I35:I42)</f>
        <v>0</v>
      </c>
      <c r="J43" s="41">
        <f>SUM(J35:J42)</f>
        <v>189292.3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242934.72</v>
      </c>
      <c r="G44" s="41">
        <f>G43+G33</f>
        <v>43007.519999999997</v>
      </c>
      <c r="H44" s="41">
        <f>H43+H33</f>
        <v>217.55</v>
      </c>
      <c r="I44" s="41">
        <f>I43+I33</f>
        <v>0</v>
      </c>
      <c r="J44" s="41">
        <f>J43+J33</f>
        <v>189292.3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7867715</v>
      </c>
      <c r="G49" s="18">
        <v>0</v>
      </c>
      <c r="H49" s="18">
        <v>0</v>
      </c>
      <c r="I49" s="18">
        <v>0</v>
      </c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7867715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12334.43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12334.43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3483.41</v>
      </c>
      <c r="G88" s="18">
        <v>0</v>
      </c>
      <c r="H88" s="18"/>
      <c r="I88" s="18"/>
      <c r="J88" s="18">
        <v>189.72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271752.71000000002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8973.7000000000007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>
        <v>0</v>
      </c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35.43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2235.77</v>
      </c>
      <c r="G101" s="18">
        <v>0</v>
      </c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16791.27</v>
      </c>
      <c r="G102" s="18">
        <v>3986.53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31519.58</v>
      </c>
      <c r="G103" s="41">
        <f>SUM(G88:G102)</f>
        <v>275739.24000000005</v>
      </c>
      <c r="H103" s="41">
        <f>SUM(H88:H102)</f>
        <v>0</v>
      </c>
      <c r="I103" s="41">
        <f>SUM(I88:I102)</f>
        <v>0</v>
      </c>
      <c r="J103" s="41">
        <f>SUM(J88:J102)</f>
        <v>189.72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7911569.0099999998</v>
      </c>
      <c r="G104" s="41">
        <f>G52+G103</f>
        <v>275739.24000000005</v>
      </c>
      <c r="H104" s="41">
        <f>H52+H71+H86+H103</f>
        <v>0</v>
      </c>
      <c r="I104" s="41">
        <f>I52+I103</f>
        <v>0</v>
      </c>
      <c r="J104" s="41">
        <f>J52+J103</f>
        <v>189.72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2385108.15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1047661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915091.85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582</v>
      </c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4347861</v>
      </c>
      <c r="G113" s="41">
        <f>SUM(G109:G112)</f>
        <v>0</v>
      </c>
      <c r="H113" s="41">
        <f>SUM(H109:H112)</f>
        <v>582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281648.46000000002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225807.24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13612.8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2968.62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10650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531718.5</v>
      </c>
      <c r="G128" s="41">
        <f>SUM(G115:G127)</f>
        <v>2968.62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4879579.5</v>
      </c>
      <c r="G132" s="41">
        <f>G113+SUM(G128:G129)</f>
        <v>2968.62</v>
      </c>
      <c r="H132" s="41">
        <f>H113+SUM(H128:H131)</f>
        <v>582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129295.15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48481.72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148849.4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148849.4</v>
      </c>
      <c r="G154" s="41">
        <f>SUM(G142:G153)</f>
        <v>48481.72</v>
      </c>
      <c r="H154" s="41">
        <f>SUM(H142:H153)</f>
        <v>129295.15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148849.4</v>
      </c>
      <c r="G161" s="41">
        <f>G139+G154+SUM(G155:G160)</f>
        <v>48481.72</v>
      </c>
      <c r="H161" s="41">
        <f>H139+H154+SUM(H155:H160)</f>
        <v>129295.15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12939997.91</v>
      </c>
      <c r="G185" s="47">
        <f>G104+G132+G161+G184</f>
        <v>327189.58000000007</v>
      </c>
      <c r="H185" s="47">
        <f>H104+H132+H161+H184</f>
        <v>129877.15</v>
      </c>
      <c r="I185" s="47">
        <f>I104+I132+I161+I184</f>
        <v>0</v>
      </c>
      <c r="J185" s="47">
        <f>J104+J132+J184</f>
        <v>189.72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3730777.21</v>
      </c>
      <c r="G225" s="18">
        <v>1209984.44</v>
      </c>
      <c r="H225" s="18">
        <f>16781+16405.91</f>
        <v>33186.910000000003</v>
      </c>
      <c r="I225" s="18">
        <v>119100.02</v>
      </c>
      <c r="J225" s="18">
        <v>35116.300000000003</v>
      </c>
      <c r="K225" s="18">
        <v>2787.42</v>
      </c>
      <c r="L225" s="19">
        <f>SUM(F225:K225)</f>
        <v>5130952.3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1345460.27</v>
      </c>
      <c r="G226" s="18">
        <v>462118.81</v>
      </c>
      <c r="H226" s="18">
        <f>63389.83+25816.28+848115.91</f>
        <v>937322.02</v>
      </c>
      <c r="I226" s="18">
        <v>17043.62</v>
      </c>
      <c r="J226" s="18">
        <v>704.99</v>
      </c>
      <c r="K226" s="18">
        <v>19190.57</v>
      </c>
      <c r="L226" s="19">
        <f>SUM(F226:K226)</f>
        <v>2781840.2800000003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36872.160000000003</v>
      </c>
      <c r="I227" s="18"/>
      <c r="J227" s="18"/>
      <c r="K227" s="18"/>
      <c r="L227" s="19">
        <f>SUM(F227:K227)</f>
        <v>36872.160000000003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284679.65000000002</v>
      </c>
      <c r="G228" s="18">
        <v>54286.34</v>
      </c>
      <c r="H228" s="18">
        <f>22000+3603</f>
        <v>25603</v>
      </c>
      <c r="I228" s="18">
        <v>23345.53</v>
      </c>
      <c r="J228" s="18">
        <v>4947.7</v>
      </c>
      <c r="K228" s="18">
        <v>75421.19</v>
      </c>
      <c r="L228" s="19">
        <f>SUM(F228:K228)</f>
        <v>468283.41000000003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487667.11</v>
      </c>
      <c r="G230" s="18">
        <v>187664.54</v>
      </c>
      <c r="H230" s="18">
        <f>111218.47+2185.31</f>
        <v>113403.78</v>
      </c>
      <c r="I230" s="18">
        <v>9339.4500000000007</v>
      </c>
      <c r="J230" s="18">
        <v>1213.6500000000001</v>
      </c>
      <c r="K230" s="18">
        <v>80</v>
      </c>
      <c r="L230" s="19">
        <f t="shared" ref="L230:L236" si="4">SUM(F230:K230)</f>
        <v>799368.53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161934.54</v>
      </c>
      <c r="G231" s="18">
        <v>58812.85</v>
      </c>
      <c r="H231" s="18">
        <f>48949.63+6769.81</f>
        <v>55719.439999999995</v>
      </c>
      <c r="I231" s="18">
        <v>32635.01</v>
      </c>
      <c r="J231" s="18">
        <v>56168.29</v>
      </c>
      <c r="K231" s="18">
        <v>2615.1999999999998</v>
      </c>
      <c r="L231" s="19">
        <f t="shared" si="4"/>
        <v>367885.33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4400</v>
      </c>
      <c r="G232" s="18">
        <v>38964.6</v>
      </c>
      <c r="H232" s="18">
        <f>436356.26+22623.99</f>
        <v>458980.25</v>
      </c>
      <c r="I232" s="18">
        <v>2208.79</v>
      </c>
      <c r="J232" s="18"/>
      <c r="K232" s="18">
        <v>9508.65</v>
      </c>
      <c r="L232" s="19">
        <f t="shared" si="4"/>
        <v>514062.29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390559.67</v>
      </c>
      <c r="G233" s="18">
        <v>151305.42000000001</v>
      </c>
      <c r="H233" s="18">
        <f>7386+34779.83</f>
        <v>42165.83</v>
      </c>
      <c r="I233" s="18">
        <v>11913.7</v>
      </c>
      <c r="J233" s="18"/>
      <c r="K233" s="18">
        <v>18049.66</v>
      </c>
      <c r="L233" s="19">
        <f t="shared" si="4"/>
        <v>613994.27999999991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342758.89</v>
      </c>
      <c r="G235" s="18">
        <v>159351.74</v>
      </c>
      <c r="H235" s="18">
        <f>39571.87+113083.27+63979</f>
        <v>216634.14</v>
      </c>
      <c r="I235" s="18">
        <v>274050.8</v>
      </c>
      <c r="J235" s="18">
        <v>6847.3</v>
      </c>
      <c r="K235" s="18">
        <v>773.7</v>
      </c>
      <c r="L235" s="19">
        <f t="shared" si="4"/>
        <v>1000416.5700000001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534212.63</v>
      </c>
      <c r="I236" s="18"/>
      <c r="J236" s="18"/>
      <c r="K236" s="18"/>
      <c r="L236" s="19">
        <f t="shared" si="4"/>
        <v>534212.63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6748237.3400000008</v>
      </c>
      <c r="G239" s="41">
        <f t="shared" si="5"/>
        <v>2322488.7400000002</v>
      </c>
      <c r="H239" s="41">
        <f t="shared" si="5"/>
        <v>2454100.16</v>
      </c>
      <c r="I239" s="41">
        <f t="shared" si="5"/>
        <v>489636.92000000004</v>
      </c>
      <c r="J239" s="41">
        <f t="shared" si="5"/>
        <v>104998.23</v>
      </c>
      <c r="K239" s="41">
        <f t="shared" si="5"/>
        <v>128426.38999999998</v>
      </c>
      <c r="L239" s="41">
        <f t="shared" si="5"/>
        <v>12247887.779999999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6748237.3400000008</v>
      </c>
      <c r="G249" s="41">
        <f t="shared" si="8"/>
        <v>2322488.7400000002</v>
      </c>
      <c r="H249" s="41">
        <f t="shared" si="8"/>
        <v>2454100.16</v>
      </c>
      <c r="I249" s="41">
        <f t="shared" si="8"/>
        <v>489636.92000000004</v>
      </c>
      <c r="J249" s="41">
        <f t="shared" si="8"/>
        <v>104998.23</v>
      </c>
      <c r="K249" s="41">
        <f t="shared" si="8"/>
        <v>128426.38999999998</v>
      </c>
      <c r="L249" s="41">
        <f t="shared" si="8"/>
        <v>12247887.779999999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500000</v>
      </c>
      <c r="L252" s="19">
        <f>SUM(F252:K252)</f>
        <v>500000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62000</v>
      </c>
      <c r="L253" s="19">
        <f>SUM(F253:K253)</f>
        <v>62000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562000</v>
      </c>
      <c r="L262" s="41">
        <f t="shared" si="9"/>
        <v>562000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6748237.3400000008</v>
      </c>
      <c r="G263" s="42">
        <f t="shared" si="11"/>
        <v>2322488.7400000002</v>
      </c>
      <c r="H263" s="42">
        <f t="shared" si="11"/>
        <v>2454100.16</v>
      </c>
      <c r="I263" s="42">
        <f t="shared" si="11"/>
        <v>489636.92000000004</v>
      </c>
      <c r="J263" s="42">
        <f t="shared" si="11"/>
        <v>104998.23</v>
      </c>
      <c r="K263" s="42">
        <f t="shared" si="11"/>
        <v>690426.39</v>
      </c>
      <c r="L263" s="42">
        <f t="shared" si="11"/>
        <v>12809887.779999999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63158.78</v>
      </c>
      <c r="G306" s="18">
        <v>20091.88</v>
      </c>
      <c r="H306" s="18"/>
      <c r="I306" s="18">
        <v>2294.08</v>
      </c>
      <c r="J306" s="18"/>
      <c r="K306" s="18"/>
      <c r="L306" s="19">
        <f>SUM(F306:K306)</f>
        <v>85544.74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240</v>
      </c>
      <c r="G309" s="18">
        <v>36.340000000000003</v>
      </c>
      <c r="H309" s="18">
        <v>876.63</v>
      </c>
      <c r="I309" s="18">
        <v>367.4</v>
      </c>
      <c r="J309" s="18"/>
      <c r="K309" s="18"/>
      <c r="L309" s="19">
        <f>SUM(F309:K309)</f>
        <v>1520.37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10056.82</v>
      </c>
      <c r="G312" s="18">
        <v>1309.9000000000001</v>
      </c>
      <c r="H312" s="18">
        <f>17408.55+6136.45</f>
        <v>23545</v>
      </c>
      <c r="I312" s="18">
        <v>4355.82</v>
      </c>
      <c r="J312" s="18">
        <v>655.08000000000004</v>
      </c>
      <c r="K312" s="18"/>
      <c r="L312" s="19">
        <f t="shared" si="16"/>
        <v>39922.620000000003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>
        <f>2674.82</f>
        <v>2674.82</v>
      </c>
      <c r="L313" s="19">
        <f t="shared" si="16"/>
        <v>2674.82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582</v>
      </c>
      <c r="I317" s="18"/>
      <c r="J317" s="18"/>
      <c r="K317" s="18"/>
      <c r="L317" s="19">
        <f t="shared" si="16"/>
        <v>582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73455.600000000006</v>
      </c>
      <c r="G320" s="42">
        <f t="shared" si="17"/>
        <v>21438.120000000003</v>
      </c>
      <c r="H320" s="42">
        <f t="shared" si="17"/>
        <v>25003.63</v>
      </c>
      <c r="I320" s="42">
        <f t="shared" si="17"/>
        <v>7017.2999999999993</v>
      </c>
      <c r="J320" s="42">
        <f t="shared" si="17"/>
        <v>655.08000000000004</v>
      </c>
      <c r="K320" s="42">
        <f t="shared" si="17"/>
        <v>2674.82</v>
      </c>
      <c r="L320" s="41">
        <f t="shared" si="17"/>
        <v>130244.55000000002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73455.600000000006</v>
      </c>
      <c r="G330" s="41">
        <f t="shared" si="20"/>
        <v>21438.120000000003</v>
      </c>
      <c r="H330" s="41">
        <f t="shared" si="20"/>
        <v>25003.63</v>
      </c>
      <c r="I330" s="41">
        <f t="shared" si="20"/>
        <v>7017.2999999999993</v>
      </c>
      <c r="J330" s="41">
        <f t="shared" si="20"/>
        <v>655.08000000000004</v>
      </c>
      <c r="K330" s="41">
        <f t="shared" si="20"/>
        <v>2674.82</v>
      </c>
      <c r="L330" s="41">
        <f t="shared" si="20"/>
        <v>130244.55000000002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73455.600000000006</v>
      </c>
      <c r="G344" s="41">
        <f>G330</f>
        <v>21438.120000000003</v>
      </c>
      <c r="H344" s="41">
        <f>H330</f>
        <v>25003.63</v>
      </c>
      <c r="I344" s="41">
        <f>I330</f>
        <v>7017.2999999999993</v>
      </c>
      <c r="J344" s="41">
        <f>J330</f>
        <v>655.08000000000004</v>
      </c>
      <c r="K344" s="47">
        <f>K330+K343</f>
        <v>2674.82</v>
      </c>
      <c r="L344" s="41">
        <f>L330+L343</f>
        <v>130244.55000000002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91123.13</v>
      </c>
      <c r="G352" s="18">
        <v>34243.06</v>
      </c>
      <c r="H352" s="18">
        <v>2861.39</v>
      </c>
      <c r="I352" s="18">
        <v>196668.05</v>
      </c>
      <c r="J352" s="18">
        <v>5147.9799999999996</v>
      </c>
      <c r="K352" s="18">
        <v>3617.74</v>
      </c>
      <c r="L352" s="19">
        <f>SUM(F352:K352)</f>
        <v>333661.34999999998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91123.13</v>
      </c>
      <c r="G354" s="47">
        <f t="shared" si="22"/>
        <v>34243.06</v>
      </c>
      <c r="H354" s="47">
        <f t="shared" si="22"/>
        <v>2861.39</v>
      </c>
      <c r="I354" s="47">
        <f t="shared" si="22"/>
        <v>196668.05</v>
      </c>
      <c r="J354" s="47">
        <f t="shared" si="22"/>
        <v>5147.9799999999996</v>
      </c>
      <c r="K354" s="47">
        <f t="shared" si="22"/>
        <v>3617.74</v>
      </c>
      <c r="L354" s="47">
        <f t="shared" si="22"/>
        <v>333661.34999999998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>
        <f>169616.96+26962.78</f>
        <v>196579.74</v>
      </c>
      <c r="I359" s="56">
        <f>SUM(F359:H359)</f>
        <v>196579.74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>
        <v>88.31</v>
      </c>
      <c r="I360" s="56">
        <f>SUM(F360:H360)</f>
        <v>88.31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196668.05</v>
      </c>
      <c r="I361" s="47">
        <f>SUM(I359:I360)</f>
        <v>196668.05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189.72</v>
      </c>
      <c r="I388" s="18"/>
      <c r="J388" s="24" t="s">
        <v>312</v>
      </c>
      <c r="K388" s="24" t="s">
        <v>312</v>
      </c>
      <c r="L388" s="56">
        <f t="shared" si="26"/>
        <v>189.72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189.72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189.72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189.72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189.72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27063.01</v>
      </c>
      <c r="I414" s="18"/>
      <c r="J414" s="18"/>
      <c r="K414" s="18"/>
      <c r="L414" s="56">
        <f t="shared" si="29"/>
        <v>27063.01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27063.01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27063.01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27063.01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27063.01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62439.39</v>
      </c>
      <c r="G431" s="18">
        <v>126852.91</v>
      </c>
      <c r="H431" s="18"/>
      <c r="I431" s="56">
        <f t="shared" ref="I431:I437" si="33">SUM(F431:H431)</f>
        <v>189292.3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62439.39</v>
      </c>
      <c r="G438" s="13">
        <f>SUM(G431:G437)</f>
        <v>126852.91</v>
      </c>
      <c r="H438" s="13">
        <f>SUM(H431:H437)</f>
        <v>0</v>
      </c>
      <c r="I438" s="13">
        <f>SUM(I431:I437)</f>
        <v>189292.3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62439.39</v>
      </c>
      <c r="G449" s="18">
        <v>126852.91</v>
      </c>
      <c r="H449" s="18"/>
      <c r="I449" s="56">
        <f>SUM(F449:H449)</f>
        <v>189292.3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62439.39</v>
      </c>
      <c r="G450" s="83">
        <f>SUM(G446:G449)</f>
        <v>126852.91</v>
      </c>
      <c r="H450" s="83">
        <f>SUM(H446:H449)</f>
        <v>0</v>
      </c>
      <c r="I450" s="83">
        <f>SUM(I446:I449)</f>
        <v>189292.3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62439.39</v>
      </c>
      <c r="G451" s="42">
        <f>G444+G450</f>
        <v>126852.91</v>
      </c>
      <c r="H451" s="42">
        <f>H444+H450</f>
        <v>0</v>
      </c>
      <c r="I451" s="42">
        <f>I444+I450</f>
        <v>189292.3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93264.37</v>
      </c>
      <c r="G455" s="18">
        <v>49479.29</v>
      </c>
      <c r="H455" s="18">
        <v>584.95000000000005</v>
      </c>
      <c r="I455" s="18">
        <v>0</v>
      </c>
      <c r="J455" s="18">
        <v>216165.59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12939997.91</v>
      </c>
      <c r="G458" s="18">
        <v>327189.58</v>
      </c>
      <c r="H458" s="18">
        <v>129877.15</v>
      </c>
      <c r="I458" s="18"/>
      <c r="J458" s="18">
        <v>189.72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f>15519.55+10</f>
        <v>15529.55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12955527.460000001</v>
      </c>
      <c r="G460" s="53">
        <f>SUM(G458:G459)</f>
        <v>327189.58</v>
      </c>
      <c r="H460" s="53">
        <f>SUM(H458:H459)</f>
        <v>129877.15</v>
      </c>
      <c r="I460" s="53">
        <f>SUM(I458:I459)</f>
        <v>0</v>
      </c>
      <c r="J460" s="53">
        <f>SUM(J458:J459)</f>
        <v>189.72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12809887.779999999</v>
      </c>
      <c r="G462" s="18">
        <v>333661.34999999998</v>
      </c>
      <c r="H462" s="18">
        <v>130244.55</v>
      </c>
      <c r="I462" s="18"/>
      <c r="J462" s="18">
        <v>27063.01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12809887.779999999</v>
      </c>
      <c r="G464" s="53">
        <f>SUM(G462:G463)</f>
        <v>333661.34999999998</v>
      </c>
      <c r="H464" s="53">
        <f>SUM(H462:H463)</f>
        <v>130244.55</v>
      </c>
      <c r="I464" s="53">
        <f>SUM(I462:I463)</f>
        <v>0</v>
      </c>
      <c r="J464" s="53">
        <f>SUM(J462:J463)</f>
        <v>27063.01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238904.05000000075</v>
      </c>
      <c r="G466" s="53">
        <f>(G455+G460)- G464</f>
        <v>43007.520000000019</v>
      </c>
      <c r="H466" s="53">
        <f>(H455+H460)- H464</f>
        <v>217.54999999998836</v>
      </c>
      <c r="I466" s="53">
        <f>(I455+I460)- I464</f>
        <v>0</v>
      </c>
      <c r="J466" s="53">
        <f>(J455+J460)- J464</f>
        <v>189292.3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7</v>
      </c>
      <c r="G480" s="154">
        <v>7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894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895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3516000</v>
      </c>
      <c r="G483" s="18">
        <v>3516000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3.27</v>
      </c>
      <c r="G484" s="18">
        <v>3.27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1490000</v>
      </c>
      <c r="G485" s="18">
        <v>1490000</v>
      </c>
      <c r="H485" s="18"/>
      <c r="I485" s="18"/>
      <c r="J485" s="18"/>
      <c r="K485" s="53">
        <f>SUM(F485:J485)</f>
        <v>2980000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500000</v>
      </c>
      <c r="G487" s="18">
        <v>500000</v>
      </c>
      <c r="H487" s="18"/>
      <c r="I487" s="18"/>
      <c r="J487" s="18"/>
      <c r="K487" s="53">
        <f t="shared" si="34"/>
        <v>1000000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990000</v>
      </c>
      <c r="G488" s="205">
        <v>1440000</v>
      </c>
      <c r="H488" s="205"/>
      <c r="I488" s="205"/>
      <c r="J488" s="205"/>
      <c r="K488" s="206">
        <f t="shared" si="34"/>
        <v>2430000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49250</v>
      </c>
      <c r="G489" s="18">
        <v>49250</v>
      </c>
      <c r="H489" s="18"/>
      <c r="I489" s="18"/>
      <c r="J489" s="18"/>
      <c r="K489" s="53">
        <f t="shared" si="34"/>
        <v>98500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1039250</v>
      </c>
      <c r="G490" s="42">
        <f>SUM(G488:G489)</f>
        <v>1489250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2528500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500000</v>
      </c>
      <c r="G491" s="205">
        <v>500000</v>
      </c>
      <c r="H491" s="205"/>
      <c r="I491" s="205"/>
      <c r="J491" s="205"/>
      <c r="K491" s="206">
        <f t="shared" si="34"/>
        <v>1000000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37000</v>
      </c>
      <c r="G492" s="18">
        <v>37000</v>
      </c>
      <c r="H492" s="18"/>
      <c r="I492" s="18"/>
      <c r="J492" s="18"/>
      <c r="K492" s="53">
        <f t="shared" si="34"/>
        <v>74000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537000</v>
      </c>
      <c r="G493" s="42">
        <f>SUM(G491:G492)</f>
        <v>537000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1074000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1345460.27</v>
      </c>
      <c r="G513" s="18">
        <v>462118.81</v>
      </c>
      <c r="H513" s="18">
        <f>63389.83+25816.28+848115.91</f>
        <v>937322.02</v>
      </c>
      <c r="I513" s="18">
        <v>17043.62</v>
      </c>
      <c r="J513" s="18">
        <v>704.99</v>
      </c>
      <c r="K513" s="18">
        <v>19190.57</v>
      </c>
      <c r="L513" s="88">
        <f>SUM(F513:K513)</f>
        <v>2781840.2800000003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1345460.27</v>
      </c>
      <c r="G514" s="108">
        <f t="shared" ref="G514:L514" si="35">SUM(G511:G513)</f>
        <v>462118.81</v>
      </c>
      <c r="H514" s="108">
        <f t="shared" si="35"/>
        <v>937322.02</v>
      </c>
      <c r="I514" s="108">
        <f t="shared" si="35"/>
        <v>17043.62</v>
      </c>
      <c r="J514" s="108">
        <f t="shared" si="35"/>
        <v>704.99</v>
      </c>
      <c r="K514" s="108">
        <f t="shared" si="35"/>
        <v>19190.57</v>
      </c>
      <c r="L514" s="89">
        <f t="shared" si="35"/>
        <v>2781840.2800000003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34652.8+6470.01</f>
        <v>41122.810000000005</v>
      </c>
      <c r="G518" s="18">
        <f>24331.08+2240.03</f>
        <v>26571.11</v>
      </c>
      <c r="H518" s="18">
        <f>3000+92224.91</f>
        <v>95224.91</v>
      </c>
      <c r="I518" s="18"/>
      <c r="J518" s="18"/>
      <c r="K518" s="18"/>
      <c r="L518" s="88">
        <f>SUM(F518:K518)</f>
        <v>162918.83000000002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41122.810000000005</v>
      </c>
      <c r="G519" s="89">
        <f t="shared" ref="G519:L519" si="36">SUM(G516:G518)</f>
        <v>26571.11</v>
      </c>
      <c r="H519" s="89">
        <f t="shared" si="36"/>
        <v>95224.91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162918.83000000002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45771.51</v>
      </c>
      <c r="G523" s="18">
        <v>13938.7</v>
      </c>
      <c r="H523" s="18">
        <v>298.12</v>
      </c>
      <c r="I523" s="18"/>
      <c r="J523" s="18"/>
      <c r="K523" s="18">
        <v>628.98</v>
      </c>
      <c r="L523" s="88">
        <f>SUM(F523:K523)</f>
        <v>60637.310000000012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45771.51</v>
      </c>
      <c r="G524" s="89">
        <f t="shared" ref="G524:L524" si="37">SUM(G521:G523)</f>
        <v>13938.7</v>
      </c>
      <c r="H524" s="89">
        <f t="shared" si="37"/>
        <v>298.12</v>
      </c>
      <c r="I524" s="89">
        <f t="shared" si="37"/>
        <v>0</v>
      </c>
      <c r="J524" s="89">
        <f t="shared" si="37"/>
        <v>0</v>
      </c>
      <c r="K524" s="89">
        <f t="shared" si="37"/>
        <v>628.98</v>
      </c>
      <c r="L524" s="89">
        <f t="shared" si="37"/>
        <v>60637.310000000012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24377.759999999998</v>
      </c>
      <c r="I528" s="18"/>
      <c r="J528" s="18"/>
      <c r="K528" s="18"/>
      <c r="L528" s="88">
        <f>SUM(F528:K528)</f>
        <v>24377.759999999998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24377.759999999998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24377.759999999998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304240.5</v>
      </c>
      <c r="I533" s="18"/>
      <c r="J533" s="18"/>
      <c r="K533" s="18"/>
      <c r="L533" s="88">
        <f>SUM(F533:K533)</f>
        <v>304240.5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304240.5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304240.5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1432354.59</v>
      </c>
      <c r="G535" s="89">
        <f t="shared" ref="G535:L535" si="40">G514+G519+G524+G529+G534</f>
        <v>502628.62</v>
      </c>
      <c r="H535" s="89">
        <f t="shared" si="40"/>
        <v>1361463.31</v>
      </c>
      <c r="I535" s="89">
        <f t="shared" si="40"/>
        <v>17043.62</v>
      </c>
      <c r="J535" s="89">
        <f t="shared" si="40"/>
        <v>704.99</v>
      </c>
      <c r="K535" s="89">
        <f t="shared" si="40"/>
        <v>19819.55</v>
      </c>
      <c r="L535" s="89">
        <f t="shared" si="40"/>
        <v>3334014.68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2781840.2800000003</v>
      </c>
      <c r="G541" s="87">
        <f>L518</f>
        <v>162918.83000000002</v>
      </c>
      <c r="H541" s="87">
        <f>L523</f>
        <v>60637.310000000012</v>
      </c>
      <c r="I541" s="87">
        <f>L528</f>
        <v>24377.759999999998</v>
      </c>
      <c r="J541" s="87">
        <f>L533</f>
        <v>304240.5</v>
      </c>
      <c r="K541" s="87">
        <f>SUM(F541:J541)</f>
        <v>3334014.68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2781840.2800000003</v>
      </c>
      <c r="G542" s="89">
        <f t="shared" si="41"/>
        <v>162918.83000000002</v>
      </c>
      <c r="H542" s="89">
        <f t="shared" si="41"/>
        <v>60637.310000000012</v>
      </c>
      <c r="I542" s="89">
        <f t="shared" si="41"/>
        <v>24377.759999999998</v>
      </c>
      <c r="J542" s="89">
        <f t="shared" si="41"/>
        <v>304240.5</v>
      </c>
      <c r="K542" s="89">
        <f t="shared" si="41"/>
        <v>3334014.68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547.25</v>
      </c>
      <c r="G554" s="18">
        <v>82.86</v>
      </c>
      <c r="H554" s="18"/>
      <c r="I554" s="18"/>
      <c r="J554" s="18"/>
      <c r="K554" s="18"/>
      <c r="L554" s="88">
        <f>SUM(F554:K554)</f>
        <v>630.11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547.25</v>
      </c>
      <c r="G555" s="89">
        <f t="shared" si="43"/>
        <v>82.86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630.11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547.25</v>
      </c>
      <c r="G561" s="89">
        <f t="shared" ref="G561:L561" si="45">G550+G555+G560</f>
        <v>82.86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630.11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3446.2</v>
      </c>
      <c r="I565" s="87">
        <f>SUM(F565:H565)</f>
        <v>3446.2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558497.69999999995</v>
      </c>
      <c r="I572" s="87">
        <f t="shared" si="46"/>
        <v>558497.69999999995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340891.8</v>
      </c>
      <c r="I573" s="87">
        <f t="shared" si="46"/>
        <v>340891.8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36872.160000000003</v>
      </c>
      <c r="I574" s="87">
        <f t="shared" si="46"/>
        <v>36872.160000000003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>
        <v>114108.7</v>
      </c>
      <c r="K581" s="104">
        <f t="shared" ref="K581:K587" si="47">SUM(H581:J581)</f>
        <v>114108.7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304240.5</v>
      </c>
      <c r="K582" s="104">
        <f t="shared" si="47"/>
        <v>304240.5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28902</v>
      </c>
      <c r="K583" s="104">
        <f t="shared" si="47"/>
        <v>28902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56925.07</v>
      </c>
      <c r="K584" s="104">
        <f t="shared" si="47"/>
        <v>56925.07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>
        <v>30036.36</v>
      </c>
      <c r="K585" s="104">
        <f t="shared" si="47"/>
        <v>30036.36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0</v>
      </c>
      <c r="J588" s="108">
        <f>SUM(J581:J587)</f>
        <v>534212.63</v>
      </c>
      <c r="K588" s="108">
        <f>SUM(K581:K587)</f>
        <v>534212.63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>
        <v>105653.31</v>
      </c>
      <c r="K594" s="104">
        <f>SUM(H594:J594)</f>
        <v>105653.31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105653.31</v>
      </c>
      <c r="K595" s="108">
        <f>SUM(K592:K594)</f>
        <v>105653.31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42293.120000000003</v>
      </c>
      <c r="G603" s="18">
        <v>5804.13</v>
      </c>
      <c r="H603" s="18"/>
      <c r="I603" s="18">
        <v>794.27</v>
      </c>
      <c r="J603" s="18"/>
      <c r="K603" s="18"/>
      <c r="L603" s="88">
        <f>SUM(F603:K603)</f>
        <v>48891.519999999997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42293.120000000003</v>
      </c>
      <c r="G604" s="108">
        <f t="shared" si="48"/>
        <v>5804.13</v>
      </c>
      <c r="H604" s="108">
        <f t="shared" si="48"/>
        <v>0</v>
      </c>
      <c r="I604" s="108">
        <f t="shared" si="48"/>
        <v>794.27</v>
      </c>
      <c r="J604" s="108">
        <f t="shared" si="48"/>
        <v>0</v>
      </c>
      <c r="K604" s="108">
        <f t="shared" si="48"/>
        <v>0</v>
      </c>
      <c r="L604" s="89">
        <f t="shared" si="48"/>
        <v>48891.519999999997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242934.72</v>
      </c>
      <c r="H607" s="109">
        <f>SUM(F44)</f>
        <v>242934.72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43007.520000000004</v>
      </c>
      <c r="H608" s="109">
        <f>SUM(G44)</f>
        <v>43007.519999999997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217.54999999999927</v>
      </c>
      <c r="H609" s="109">
        <f>SUM(H44)</f>
        <v>217.55</v>
      </c>
      <c r="I609" s="121" t="s">
        <v>103</v>
      </c>
      <c r="J609" s="109">
        <f>G609-H609</f>
        <v>-7.3896444519050419E-13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189292.3</v>
      </c>
      <c r="H611" s="109">
        <f>SUM(J44)</f>
        <v>189292.3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238904.05</v>
      </c>
      <c r="H612" s="109">
        <f>F466</f>
        <v>238904.05000000075</v>
      </c>
      <c r="I612" s="121" t="s">
        <v>106</v>
      </c>
      <c r="J612" s="109">
        <f t="shared" ref="J612:J645" si="49">G612-H612</f>
        <v>-7.5669959187507629E-10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43007.519999999997</v>
      </c>
      <c r="H613" s="109">
        <f>G466</f>
        <v>43007.520000000019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217.55</v>
      </c>
      <c r="H614" s="109">
        <f>H466</f>
        <v>217.54999999998836</v>
      </c>
      <c r="I614" s="121" t="s">
        <v>110</v>
      </c>
      <c r="J614" s="109">
        <f t="shared" si="49"/>
        <v>1.1652900866465643E-11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189292.3</v>
      </c>
      <c r="H616" s="109">
        <f>J466</f>
        <v>189292.3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12939997.91</v>
      </c>
      <c r="H617" s="104">
        <f>SUM(F458)</f>
        <v>12939997.91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327189.58000000007</v>
      </c>
      <c r="H618" s="104">
        <f>SUM(G458)</f>
        <v>327189.58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129877.15</v>
      </c>
      <c r="H619" s="104">
        <f>SUM(H458)</f>
        <v>129877.15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189.72</v>
      </c>
      <c r="H621" s="104">
        <f>SUM(J458)</f>
        <v>189.72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12809887.779999999</v>
      </c>
      <c r="H622" s="104">
        <f>SUM(F462)</f>
        <v>12809887.779999999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130244.55000000002</v>
      </c>
      <c r="H623" s="104">
        <f>SUM(H462)</f>
        <v>130244.55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196668.05</v>
      </c>
      <c r="H624" s="104">
        <f>I361</f>
        <v>196668.05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333661.34999999998</v>
      </c>
      <c r="H625" s="104">
        <f>SUM(G462)</f>
        <v>333661.34999999998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189.72</v>
      </c>
      <c r="H627" s="164">
        <f>SUM(J458)</f>
        <v>189.72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27063.01</v>
      </c>
      <c r="H628" s="164">
        <f>SUM(J462)</f>
        <v>27063.01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62439.39</v>
      </c>
      <c r="H629" s="104">
        <f>SUM(F451)</f>
        <v>62439.39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126852.91</v>
      </c>
      <c r="H630" s="104">
        <f>SUM(G451)</f>
        <v>126852.91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189292.3</v>
      </c>
      <c r="H632" s="104">
        <f>SUM(I451)</f>
        <v>189292.3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189.72</v>
      </c>
      <c r="H634" s="104">
        <f>H400</f>
        <v>189.72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189.72</v>
      </c>
      <c r="H636" s="104">
        <f>L400</f>
        <v>189.72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534212.63</v>
      </c>
      <c r="H637" s="104">
        <f>L200+L218+L236</f>
        <v>534212.63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105653.31</v>
      </c>
      <c r="H638" s="104">
        <f>(J249+J330)-(J247+J328)</f>
        <v>105653.31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534212.63</v>
      </c>
      <c r="H641" s="104">
        <f>J588</f>
        <v>534212.63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0</v>
      </c>
      <c r="H650" s="19">
        <f>(L239+L320+L352)</f>
        <v>12711793.68</v>
      </c>
      <c r="I650" s="19">
        <f>SUM(F650:H650)</f>
        <v>12711793.68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275739.24000000005</v>
      </c>
      <c r="I651" s="19">
        <f>SUM(F651:H651)</f>
        <v>275739.24000000005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0</v>
      </c>
      <c r="H652" s="19">
        <f>(L236+L317)-(J236+J317)</f>
        <v>534794.63</v>
      </c>
      <c r="I652" s="19">
        <f>SUM(F652:H652)</f>
        <v>534794.63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0</v>
      </c>
      <c r="H653" s="200">
        <f>SUM(H565:H577)+SUM(J592:J594)+L603</f>
        <v>1094252.69</v>
      </c>
      <c r="I653" s="19">
        <f>SUM(F653:H653)</f>
        <v>1094252.69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0</v>
      </c>
      <c r="H654" s="19">
        <f>H650-SUM(H651:H653)</f>
        <v>10807007.119999999</v>
      </c>
      <c r="I654" s="19">
        <f>I650-SUM(I651:I653)</f>
        <v>10807007.119999999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>
        <v>811.93</v>
      </c>
      <c r="I655" s="19">
        <f>SUM(F655:H655)</f>
        <v>811.93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>
        <f>ROUND(H654/H655,2)</f>
        <v>13310.27</v>
      </c>
      <c r="I657" s="19">
        <f>ROUND(I654/I655,2)</f>
        <v>13310.27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-14.53</v>
      </c>
      <c r="I660" s="19">
        <f>SUM(F660:H660)</f>
        <v>-14.53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>
        <f>ROUND((H654+H659)/(H655+H660),2)</f>
        <v>13552.81</v>
      </c>
      <c r="I662" s="19">
        <f>ROUND((I654+I659)/(I655+I660),2)</f>
        <v>13552.81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6913-6A61-40D6-A548-5611AABA64DA}">
  <sheetPr>
    <tabColor indexed="20"/>
  </sheetPr>
  <dimension ref="A1:C52"/>
  <sheetViews>
    <sheetView workbookViewId="0">
      <selection activeCell="B20" sqref="B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JOHN STARK REG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3793935.9899999998</v>
      </c>
      <c r="C9" s="230">
        <f>'DOE25'!G189+'DOE25'!G207+'DOE25'!G225+'DOE25'!G268+'DOE25'!G287+'DOE25'!G306</f>
        <v>1230076.3199999998</v>
      </c>
    </row>
    <row r="10" spans="1:3" x14ac:dyDescent="0.2">
      <c r="A10" t="s">
        <v>813</v>
      </c>
      <c r="B10" s="241">
        <v>3344649.64</v>
      </c>
      <c r="C10" s="241">
        <v>1195705.9099999999</v>
      </c>
    </row>
    <row r="11" spans="1:3" x14ac:dyDescent="0.2">
      <c r="A11" t="s">
        <v>814</v>
      </c>
      <c r="B11" s="241">
        <v>396915.1</v>
      </c>
      <c r="C11" s="241">
        <v>30364.01</v>
      </c>
    </row>
    <row r="12" spans="1:3" x14ac:dyDescent="0.2">
      <c r="A12" t="s">
        <v>815</v>
      </c>
      <c r="B12" s="241">
        <v>52371.25</v>
      </c>
      <c r="C12" s="241">
        <v>4006.4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3793935.99</v>
      </c>
      <c r="C13" s="232">
        <f>SUM(C10:C12)</f>
        <v>1230076.3199999998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1345460.27</v>
      </c>
      <c r="C18" s="230">
        <f>'DOE25'!G190+'DOE25'!G208+'DOE25'!G226+'DOE25'!G269+'DOE25'!G288+'DOE25'!G307</f>
        <v>462118.81</v>
      </c>
    </row>
    <row r="19" spans="1:3" x14ac:dyDescent="0.2">
      <c r="A19" t="s">
        <v>813</v>
      </c>
      <c r="B19" s="241">
        <v>926199.13</v>
      </c>
      <c r="C19" s="241">
        <v>357632.87</v>
      </c>
    </row>
    <row r="20" spans="1:3" x14ac:dyDescent="0.2">
      <c r="A20" t="s">
        <v>814</v>
      </c>
      <c r="B20" s="241">
        <v>398892.12</v>
      </c>
      <c r="C20" s="241">
        <v>102927.71</v>
      </c>
    </row>
    <row r="21" spans="1:3" x14ac:dyDescent="0.2">
      <c r="A21" t="s">
        <v>815</v>
      </c>
      <c r="B21" s="241">
        <v>20369.02</v>
      </c>
      <c r="C21" s="241">
        <v>1558.23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1345460.27</v>
      </c>
      <c r="C22" s="232">
        <f>SUM(C19:C21)</f>
        <v>462118.81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284919.65000000002</v>
      </c>
      <c r="C36" s="236">
        <f>'DOE25'!G192+'DOE25'!G210+'DOE25'!G228+'DOE25'!G271+'DOE25'!G290+'DOE25'!G309</f>
        <v>54322.679999999993</v>
      </c>
    </row>
    <row r="37" spans="1:3" x14ac:dyDescent="0.2">
      <c r="A37" t="s">
        <v>813</v>
      </c>
      <c r="B37" s="241">
        <v>212034.65</v>
      </c>
      <c r="C37" s="241">
        <v>48746.97</v>
      </c>
    </row>
    <row r="38" spans="1:3" x14ac:dyDescent="0.2">
      <c r="A38" t="s">
        <v>814</v>
      </c>
      <c r="B38" s="241">
        <v>72885</v>
      </c>
      <c r="C38" s="241">
        <v>5575.71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284919.65000000002</v>
      </c>
      <c r="C40" s="232">
        <f>SUM(C37:C39)</f>
        <v>54322.68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66F8-9EF1-4B2D-AE2F-AA8E181AE518}">
  <sheetPr>
    <tabColor indexed="11"/>
  </sheetPr>
  <dimension ref="A1:I51"/>
  <sheetViews>
    <sheetView workbookViewId="0">
      <pane ySplit="4" topLeftCell="A24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JOHN STARK REG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8417948.1500000004</v>
      </c>
      <c r="D5" s="20">
        <f>SUM('DOE25'!L189:L192)+SUM('DOE25'!L207:L210)+SUM('DOE25'!L225:L228)-F5-G5</f>
        <v>8279779.9800000004</v>
      </c>
      <c r="E5" s="244"/>
      <c r="F5" s="256">
        <f>SUM('DOE25'!J189:J192)+SUM('DOE25'!J207:J210)+SUM('DOE25'!J225:J228)</f>
        <v>40768.99</v>
      </c>
      <c r="G5" s="53">
        <f>SUM('DOE25'!K189:K192)+SUM('DOE25'!K207:K210)+SUM('DOE25'!K225:K228)</f>
        <v>97399.18</v>
      </c>
      <c r="H5" s="260"/>
    </row>
    <row r="6" spans="1:9" x14ac:dyDescent="0.2">
      <c r="A6" s="32">
        <v>2100</v>
      </c>
      <c r="B6" t="s">
        <v>835</v>
      </c>
      <c r="C6" s="246">
        <f t="shared" si="0"/>
        <v>799368.53</v>
      </c>
      <c r="D6" s="20">
        <f>'DOE25'!L194+'DOE25'!L212+'DOE25'!L230-F6-G6</f>
        <v>798074.88</v>
      </c>
      <c r="E6" s="244"/>
      <c r="F6" s="256">
        <f>'DOE25'!J194+'DOE25'!J212+'DOE25'!J230</f>
        <v>1213.6500000000001</v>
      </c>
      <c r="G6" s="53">
        <f>'DOE25'!K194+'DOE25'!K212+'DOE25'!K230</f>
        <v>80</v>
      </c>
      <c r="H6" s="260"/>
    </row>
    <row r="7" spans="1:9" x14ac:dyDescent="0.2">
      <c r="A7" s="32">
        <v>2200</v>
      </c>
      <c r="B7" t="s">
        <v>868</v>
      </c>
      <c r="C7" s="246">
        <f t="shared" si="0"/>
        <v>367885.33</v>
      </c>
      <c r="D7" s="20">
        <f>'DOE25'!L195+'DOE25'!L213+'DOE25'!L231-F7-G7</f>
        <v>309101.84000000003</v>
      </c>
      <c r="E7" s="244"/>
      <c r="F7" s="256">
        <f>'DOE25'!J195+'DOE25'!J213+'DOE25'!J231</f>
        <v>56168.29</v>
      </c>
      <c r="G7" s="53">
        <f>'DOE25'!K195+'DOE25'!K213+'DOE25'!K231</f>
        <v>2615.1999999999998</v>
      </c>
      <c r="H7" s="260"/>
    </row>
    <row r="8" spans="1:9" x14ac:dyDescent="0.2">
      <c r="A8" s="32">
        <v>2300</v>
      </c>
      <c r="B8" t="s">
        <v>836</v>
      </c>
      <c r="C8" s="246">
        <f t="shared" si="0"/>
        <v>283972.16000000003</v>
      </c>
      <c r="D8" s="244"/>
      <c r="E8" s="20">
        <f>'DOE25'!L196+'DOE25'!L214+'DOE25'!L232-F8-G8-D9-D11</f>
        <v>274463.51</v>
      </c>
      <c r="F8" s="256">
        <f>'DOE25'!J196+'DOE25'!J214+'DOE25'!J232</f>
        <v>0</v>
      </c>
      <c r="G8" s="53">
        <f>'DOE25'!K196+'DOE25'!K214+'DOE25'!K232</f>
        <v>9508.65</v>
      </c>
      <c r="H8" s="260"/>
    </row>
    <row r="9" spans="1:9" x14ac:dyDescent="0.2">
      <c r="A9" s="32">
        <v>2310</v>
      </c>
      <c r="B9" t="s">
        <v>852</v>
      </c>
      <c r="C9" s="246">
        <f t="shared" si="0"/>
        <v>135701.15</v>
      </c>
      <c r="D9" s="245">
        <v>135701.15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6100</v>
      </c>
      <c r="D10" s="244"/>
      <c r="E10" s="245">
        <v>6100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94388.98</v>
      </c>
      <c r="D11" s="245">
        <v>94388.98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613994.27999999991</v>
      </c>
      <c r="D12" s="20">
        <f>'DOE25'!L197+'DOE25'!L215+'DOE25'!L233-F12-G12</f>
        <v>595944.61999999988</v>
      </c>
      <c r="E12" s="244"/>
      <c r="F12" s="256">
        <f>'DOE25'!J197+'DOE25'!J215+'DOE25'!J233</f>
        <v>0</v>
      </c>
      <c r="G12" s="53">
        <f>'DOE25'!K197+'DOE25'!K215+'DOE25'!K233</f>
        <v>18049.66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1000416.5700000001</v>
      </c>
      <c r="D14" s="20">
        <f>'DOE25'!L199+'DOE25'!L217+'DOE25'!L235-F14-G14</f>
        <v>992795.57000000007</v>
      </c>
      <c r="E14" s="244"/>
      <c r="F14" s="256">
        <f>'DOE25'!J199+'DOE25'!J217+'DOE25'!J235</f>
        <v>6847.3</v>
      </c>
      <c r="G14" s="53">
        <f>'DOE25'!K199+'DOE25'!K217+'DOE25'!K235</f>
        <v>773.7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534212.63</v>
      </c>
      <c r="D15" s="20">
        <f>'DOE25'!L200+'DOE25'!L218+'DOE25'!L236-F15-G15</f>
        <v>534212.63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562000</v>
      </c>
      <c r="D25" s="244"/>
      <c r="E25" s="244"/>
      <c r="F25" s="259"/>
      <c r="G25" s="257"/>
      <c r="H25" s="258">
        <f>'DOE25'!L252+'DOE25'!L253+'DOE25'!L333+'DOE25'!L334</f>
        <v>562000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137081.60999999996</v>
      </c>
      <c r="D29" s="20">
        <f>'DOE25'!L350+'DOE25'!L351+'DOE25'!L352-'DOE25'!I359-F29-G29</f>
        <v>128315.88999999997</v>
      </c>
      <c r="E29" s="244"/>
      <c r="F29" s="256">
        <f>'DOE25'!J350+'DOE25'!J351+'DOE25'!J352</f>
        <v>5147.9799999999996</v>
      </c>
      <c r="G29" s="53">
        <f>'DOE25'!K350+'DOE25'!K351+'DOE25'!K352</f>
        <v>3617.74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130244.55000000002</v>
      </c>
      <c r="D31" s="20">
        <f>'DOE25'!L282+'DOE25'!L301+'DOE25'!L320+'DOE25'!L325+'DOE25'!L326+'DOE25'!L327-F31-G31</f>
        <v>126914.65000000001</v>
      </c>
      <c r="E31" s="244"/>
      <c r="F31" s="256">
        <f>'DOE25'!J282+'DOE25'!J301+'DOE25'!J320+'DOE25'!J325+'DOE25'!J326+'DOE25'!J327</f>
        <v>655.08000000000004</v>
      </c>
      <c r="G31" s="53">
        <f>'DOE25'!K282+'DOE25'!K301+'DOE25'!K320+'DOE25'!K325+'DOE25'!K326+'DOE25'!K327</f>
        <v>2674.82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11995230.190000003</v>
      </c>
      <c r="E33" s="247">
        <f>SUM(E5:E31)</f>
        <v>280563.51</v>
      </c>
      <c r="F33" s="247">
        <f>SUM(F5:F31)</f>
        <v>110801.29</v>
      </c>
      <c r="G33" s="247">
        <f>SUM(G5:G31)</f>
        <v>134718.94999999998</v>
      </c>
      <c r="H33" s="247">
        <f>SUM(H5:H31)</f>
        <v>562000</v>
      </c>
    </row>
    <row r="35" spans="2:8" ht="12" thickBot="1" x14ac:dyDescent="0.25">
      <c r="B35" s="254" t="s">
        <v>881</v>
      </c>
      <c r="D35" s="255">
        <f>E33</f>
        <v>280563.51</v>
      </c>
      <c r="E35" s="250"/>
    </row>
    <row r="36" spans="2:8" ht="12" thickTop="1" x14ac:dyDescent="0.2">
      <c r="B36" t="s">
        <v>849</v>
      </c>
      <c r="D36" s="20">
        <f>D33</f>
        <v>11995230.190000003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F57A-9363-4375-940B-9CC26EB56DB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2" sqref="A2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JOHN STARK REG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235128.02</v>
      </c>
      <c r="D9" s="95">
        <f>'DOE25'!G9</f>
        <v>40371.4</v>
      </c>
      <c r="E9" s="95">
        <f>'DOE25'!H9</f>
        <v>-22817.14</v>
      </c>
      <c r="F9" s="95">
        <f>'DOE25'!I9</f>
        <v>0</v>
      </c>
      <c r="G9" s="95">
        <f>'DOE25'!J9</f>
        <v>189292.3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3394.75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3450</v>
      </c>
      <c r="D13" s="95">
        <f>'DOE25'!G13</f>
        <v>2636.12</v>
      </c>
      <c r="E13" s="95">
        <f>'DOE25'!H13</f>
        <v>23034.69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961.95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242934.72</v>
      </c>
      <c r="D19" s="41">
        <f>SUM(D9:D18)</f>
        <v>43007.520000000004</v>
      </c>
      <c r="E19" s="41">
        <f>SUM(E9:E18)</f>
        <v>217.54999999999927</v>
      </c>
      <c r="F19" s="41">
        <f>SUM(F9:F18)</f>
        <v>0</v>
      </c>
      <c r="G19" s="41">
        <f>SUM(G9:G18)</f>
        <v>189292.3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96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3934.67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4030.67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20000</v>
      </c>
      <c r="D40" s="95">
        <f>'DOE25'!G41</f>
        <v>43007.519999999997</v>
      </c>
      <c r="E40" s="95">
        <f>'DOE25'!H41</f>
        <v>217.55</v>
      </c>
      <c r="F40" s="95">
        <f>'DOE25'!I41</f>
        <v>0</v>
      </c>
      <c r="G40" s="95">
        <f>'DOE25'!J41</f>
        <v>189292.3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218904.05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238904.05</v>
      </c>
      <c r="D42" s="41">
        <f>SUM(D34:D41)</f>
        <v>43007.519999999997</v>
      </c>
      <c r="E42" s="41">
        <f>SUM(E34:E41)</f>
        <v>217.55</v>
      </c>
      <c r="F42" s="41">
        <f>SUM(F34:F41)</f>
        <v>0</v>
      </c>
      <c r="G42" s="41">
        <f>SUM(G34:G41)</f>
        <v>189292.3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242934.72</v>
      </c>
      <c r="D43" s="41">
        <f>D42+D32</f>
        <v>43007.519999999997</v>
      </c>
      <c r="E43" s="41">
        <f>E42+E32</f>
        <v>217.55</v>
      </c>
      <c r="F43" s="41">
        <f>F42+F32</f>
        <v>0</v>
      </c>
      <c r="G43" s="41">
        <f>G42+G32</f>
        <v>189292.3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7867715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12334.43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3483.41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189.72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271752.71000000002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28036.170000000002</v>
      </c>
      <c r="D53" s="95">
        <f>SUM('DOE25'!G90:G102)</f>
        <v>3986.53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43854.01</v>
      </c>
      <c r="D54" s="130">
        <f>SUM(D49:D53)</f>
        <v>275739.24000000005</v>
      </c>
      <c r="E54" s="130">
        <f>SUM(E49:E53)</f>
        <v>0</v>
      </c>
      <c r="F54" s="130">
        <f>SUM(F49:F53)</f>
        <v>0</v>
      </c>
      <c r="G54" s="130">
        <f>SUM(G49:G53)</f>
        <v>189.72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7911569.0099999998</v>
      </c>
      <c r="D55" s="22">
        <f>D48+D54</f>
        <v>275739.24000000005</v>
      </c>
      <c r="E55" s="22">
        <f>E48+E54</f>
        <v>0</v>
      </c>
      <c r="F55" s="22">
        <f>F48+F54</f>
        <v>0</v>
      </c>
      <c r="G55" s="22">
        <f>G48+G54</f>
        <v>189.72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2385108.15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1047661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915091.85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582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4347861</v>
      </c>
      <c r="D62" s="139">
        <f>D61</f>
        <v>0</v>
      </c>
      <c r="E62" s="139">
        <f>E61</f>
        <v>582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281648.46000000002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225807.24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13612.8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10650</v>
      </c>
      <c r="D69" s="95">
        <f>SUM('DOE25'!G123:G127)</f>
        <v>2968.62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531718.5</v>
      </c>
      <c r="D70" s="130">
        <f>SUM(D64:D69)</f>
        <v>2968.62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4879579.5</v>
      </c>
      <c r="D73" s="130">
        <f>SUM(D71:D72)+D70+D62</f>
        <v>2968.62</v>
      </c>
      <c r="E73" s="130">
        <f>SUM(E71:E72)+E70+E62</f>
        <v>582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148849.4</v>
      </c>
      <c r="D80" s="95">
        <f>SUM('DOE25'!G145:G153)</f>
        <v>48481.72</v>
      </c>
      <c r="E80" s="95">
        <f>SUM('DOE25'!H145:H153)</f>
        <v>129295.15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148849.4</v>
      </c>
      <c r="D83" s="131">
        <f>SUM(D77:D82)</f>
        <v>48481.72</v>
      </c>
      <c r="E83" s="131">
        <f>SUM(E77:E82)</f>
        <v>129295.15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12939997.91</v>
      </c>
      <c r="D96" s="86">
        <f>D55+D73+D83+D95</f>
        <v>327189.58000000007</v>
      </c>
      <c r="E96" s="86">
        <f>E55+E73+E83+E95</f>
        <v>129877.15</v>
      </c>
      <c r="F96" s="86">
        <f>F55+F73+F83+F95</f>
        <v>0</v>
      </c>
      <c r="G96" s="86">
        <f>G55+G73+G95</f>
        <v>189.72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5130952.3</v>
      </c>
      <c r="D101" s="24" t="s">
        <v>312</v>
      </c>
      <c r="E101" s="95">
        <f>('DOE25'!L268)+('DOE25'!L287)+('DOE25'!L306)</f>
        <v>85544.74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2781840.2800000003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36872.160000000003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468283.41000000003</v>
      </c>
      <c r="D104" s="24" t="s">
        <v>312</v>
      </c>
      <c r="E104" s="95">
        <f>+('DOE25'!L271)+('DOE25'!L290)+('DOE25'!L309)</f>
        <v>1520.37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8417948.1500000004</v>
      </c>
      <c r="D107" s="86">
        <f>SUM(D101:D106)</f>
        <v>0</v>
      </c>
      <c r="E107" s="86">
        <f>SUM(E101:E106)</f>
        <v>87065.11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799368.53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367885.33</v>
      </c>
      <c r="D111" s="24" t="s">
        <v>312</v>
      </c>
      <c r="E111" s="95">
        <f>+('DOE25'!L274)+('DOE25'!L293)+('DOE25'!L312)</f>
        <v>39922.620000000003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514062.29</v>
      </c>
      <c r="D112" s="24" t="s">
        <v>312</v>
      </c>
      <c r="E112" s="95">
        <f>+('DOE25'!L275)+('DOE25'!L294)+('DOE25'!L313)</f>
        <v>2674.82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613994.27999999991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1000416.5700000001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534212.63</v>
      </c>
      <c r="D116" s="24" t="s">
        <v>312</v>
      </c>
      <c r="E116" s="95">
        <f>+('DOE25'!L279)+('DOE25'!L298)+('DOE25'!L317)</f>
        <v>582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333661.34999999998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3829939.63</v>
      </c>
      <c r="D120" s="86">
        <f>SUM(D110:D119)</f>
        <v>333661.34999999998</v>
      </c>
      <c r="E120" s="86">
        <f>SUM(E110:E119)</f>
        <v>43179.44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62000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189.72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-189.72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562000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12809887.780000001</v>
      </c>
      <c r="D137" s="86">
        <f>(D107+D120+D136)</f>
        <v>333661.34999999998</v>
      </c>
      <c r="E137" s="86">
        <f>(E107+E120+E136)</f>
        <v>130244.55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7</v>
      </c>
      <c r="C143" s="153">
        <f>'DOE25'!G480</f>
        <v>7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7/22/04</v>
      </c>
      <c r="C144" s="152" t="str">
        <f>'DOE25'!G481</f>
        <v>7/22/04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8/15/11</v>
      </c>
      <c r="C145" s="152" t="str">
        <f>'DOE25'!G482</f>
        <v>8/15/11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3516000</v>
      </c>
      <c r="C146" s="137">
        <f>'DOE25'!G483</f>
        <v>3516000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3.27</v>
      </c>
      <c r="C147" s="137">
        <f>'DOE25'!G484</f>
        <v>3.27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1490000</v>
      </c>
      <c r="C148" s="137">
        <f>'DOE25'!G485</f>
        <v>1490000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2980000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500000</v>
      </c>
      <c r="C150" s="137">
        <f>'DOE25'!G487</f>
        <v>500000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1000000</v>
      </c>
    </row>
    <row r="151" spans="1:7" x14ac:dyDescent="0.2">
      <c r="A151" s="22" t="s">
        <v>35</v>
      </c>
      <c r="B151" s="137">
        <f>'DOE25'!F488</f>
        <v>990000</v>
      </c>
      <c r="C151" s="137">
        <f>'DOE25'!G488</f>
        <v>1440000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2430000</v>
      </c>
    </row>
    <row r="152" spans="1:7" x14ac:dyDescent="0.2">
      <c r="A152" s="22" t="s">
        <v>36</v>
      </c>
      <c r="B152" s="137">
        <f>'DOE25'!F489</f>
        <v>49250</v>
      </c>
      <c r="C152" s="137">
        <f>'DOE25'!G489</f>
        <v>49250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98500</v>
      </c>
    </row>
    <row r="153" spans="1:7" x14ac:dyDescent="0.2">
      <c r="A153" s="22" t="s">
        <v>37</v>
      </c>
      <c r="B153" s="137">
        <f>'DOE25'!F490</f>
        <v>1039250</v>
      </c>
      <c r="C153" s="137">
        <f>'DOE25'!G490</f>
        <v>1489250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2528500</v>
      </c>
    </row>
    <row r="154" spans="1:7" x14ac:dyDescent="0.2">
      <c r="A154" s="22" t="s">
        <v>38</v>
      </c>
      <c r="B154" s="137">
        <f>'DOE25'!F491</f>
        <v>500000</v>
      </c>
      <c r="C154" s="137">
        <f>'DOE25'!G491</f>
        <v>500000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1000000</v>
      </c>
    </row>
    <row r="155" spans="1:7" x14ac:dyDescent="0.2">
      <c r="A155" s="22" t="s">
        <v>39</v>
      </c>
      <c r="B155" s="137">
        <f>'DOE25'!F492</f>
        <v>37000</v>
      </c>
      <c r="C155" s="137">
        <f>'DOE25'!G492</f>
        <v>37000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74000</v>
      </c>
    </row>
    <row r="156" spans="1:7" x14ac:dyDescent="0.2">
      <c r="A156" s="22" t="s">
        <v>269</v>
      </c>
      <c r="B156" s="137">
        <f>'DOE25'!F493</f>
        <v>537000</v>
      </c>
      <c r="C156" s="137">
        <f>'DOE25'!G493</f>
        <v>537000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1074000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2D47-D02D-4817-9C81-00F7599C14F7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JOHN STARK REG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13553</v>
      </c>
    </row>
    <row r="7" spans="1:4" x14ac:dyDescent="0.2">
      <c r="B7" t="s">
        <v>736</v>
      </c>
      <c r="C7" s="179">
        <f>IF('DOE25'!I655+'DOE25'!I660=0,0,ROUND('DOE25'!I662,0))</f>
        <v>13553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5216497</v>
      </c>
      <c r="D10" s="182">
        <f>ROUND((C10/$C$28)*100,1)</f>
        <v>41.7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2781840</v>
      </c>
      <c r="D11" s="182">
        <f>ROUND((C11/$C$28)*100,1)</f>
        <v>22.3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36872</v>
      </c>
      <c r="D12" s="182">
        <f>ROUND((C12/$C$28)*100,1)</f>
        <v>0.3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469804</v>
      </c>
      <c r="D13" s="182">
        <f>ROUND((C13/$C$28)*100,1)</f>
        <v>3.8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799369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407808</v>
      </c>
      <c r="D16" s="182">
        <f t="shared" si="0"/>
        <v>3.3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516737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613994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1000417</v>
      </c>
      <c r="D20" s="182">
        <f t="shared" si="0"/>
        <v>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534795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62000</v>
      </c>
      <c r="D25" s="182">
        <f t="shared" si="0"/>
        <v>0.5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57921.759999999951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12498054.76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12498054.76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7867715</v>
      </c>
      <c r="D35" s="182">
        <f t="shared" ref="D35:D40" si="1">ROUND((C35/$C$41)*100,1)</f>
        <v>60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44043.729999999516</v>
      </c>
      <c r="D36" s="182">
        <f t="shared" si="1"/>
        <v>0.3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3432769</v>
      </c>
      <c r="D37" s="182">
        <f t="shared" si="1"/>
        <v>26.2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1450361</v>
      </c>
      <c r="D38" s="182">
        <f t="shared" si="1"/>
        <v>11.1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326626</v>
      </c>
      <c r="D39" s="182">
        <f t="shared" si="1"/>
        <v>2.5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13121514.73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EA23-8567-457F-A80F-F754CBDA171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JOHN STARK REG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42:M42"/>
    <mergeCell ref="P40:Z40"/>
    <mergeCell ref="C40:M40"/>
    <mergeCell ref="C52:M52"/>
    <mergeCell ref="C50:M50"/>
    <mergeCell ref="C47:M47"/>
    <mergeCell ref="C48:M48"/>
    <mergeCell ref="C49:M49"/>
    <mergeCell ref="C51:M51"/>
    <mergeCell ref="IP39:IV39"/>
    <mergeCell ref="DP40:DZ40"/>
    <mergeCell ref="C46:M46"/>
    <mergeCell ref="CC40:CM40"/>
    <mergeCell ref="C44:M44"/>
    <mergeCell ref="C43:M43"/>
    <mergeCell ref="AP40:AZ40"/>
    <mergeCell ref="DC40:DM40"/>
    <mergeCell ref="GC40:GM40"/>
    <mergeCell ref="FP40:FZ40"/>
    <mergeCell ref="DP39:DZ39"/>
    <mergeCell ref="AC39:AM39"/>
    <mergeCell ref="AP39:AZ39"/>
    <mergeCell ref="BP39:BZ39"/>
    <mergeCell ref="CP39:CZ39"/>
    <mergeCell ref="CC39:CM39"/>
    <mergeCell ref="GP40:GZ40"/>
    <mergeCell ref="IP40:IV40"/>
    <mergeCell ref="IC40:IM40"/>
    <mergeCell ref="AC40:AM40"/>
    <mergeCell ref="CP40:CZ40"/>
    <mergeCell ref="EP40:EZ40"/>
    <mergeCell ref="EC40:EM40"/>
    <mergeCell ref="GP39:GZ39"/>
    <mergeCell ref="IC38:IM38"/>
    <mergeCell ref="HP39:HZ39"/>
    <mergeCell ref="C45:M45"/>
    <mergeCell ref="HP40:HZ40"/>
    <mergeCell ref="BC40:BM40"/>
    <mergeCell ref="BP40:BZ40"/>
    <mergeCell ref="FC40:FM40"/>
    <mergeCell ref="C41:M41"/>
    <mergeCell ref="HC40:HM40"/>
    <mergeCell ref="IC39:IM39"/>
    <mergeCell ref="HC39:HM39"/>
    <mergeCell ref="IP38:IV38"/>
    <mergeCell ref="CP38:CZ38"/>
    <mergeCell ref="GP38:GZ38"/>
    <mergeCell ref="HC38:HM38"/>
    <mergeCell ref="HP38:HZ38"/>
    <mergeCell ref="EP39:EZ39"/>
    <mergeCell ref="FC39:FM39"/>
    <mergeCell ref="FP39:FZ39"/>
    <mergeCell ref="GC39:GM39"/>
    <mergeCell ref="DC38:DM38"/>
    <mergeCell ref="DP38:DZ38"/>
    <mergeCell ref="EP38:EZ38"/>
    <mergeCell ref="DC39:DM39"/>
    <mergeCell ref="EC39:EM39"/>
    <mergeCell ref="GC38:GM38"/>
    <mergeCell ref="EC38:EM38"/>
    <mergeCell ref="FP38:FZ38"/>
    <mergeCell ref="FC38:FM38"/>
    <mergeCell ref="IP31:IV31"/>
    <mergeCell ref="HC32:HM32"/>
    <mergeCell ref="FP32:FZ32"/>
    <mergeCell ref="HP31:HZ31"/>
    <mergeCell ref="HP32:HZ32"/>
    <mergeCell ref="HC31:HM31"/>
    <mergeCell ref="GP32:GZ32"/>
    <mergeCell ref="GC32:GM32"/>
    <mergeCell ref="DC30:DM30"/>
    <mergeCell ref="EC31:EM31"/>
    <mergeCell ref="BP30:BZ30"/>
    <mergeCell ref="IP32:IV32"/>
    <mergeCell ref="BC31:BM31"/>
    <mergeCell ref="BC32:BM32"/>
    <mergeCell ref="IC31:IM31"/>
    <mergeCell ref="DC31:DM31"/>
    <mergeCell ref="DP31:DZ31"/>
    <mergeCell ref="IC32:IM32"/>
    <mergeCell ref="DP32:DZ32"/>
    <mergeCell ref="EC32:EM32"/>
    <mergeCell ref="EP32:EZ32"/>
    <mergeCell ref="GC31:GM31"/>
    <mergeCell ref="FP31:FZ31"/>
    <mergeCell ref="BP31:BZ31"/>
    <mergeCell ref="FC31:FM31"/>
    <mergeCell ref="FC32:FM32"/>
    <mergeCell ref="P38:Z38"/>
    <mergeCell ref="C38:M38"/>
    <mergeCell ref="P39:Z39"/>
    <mergeCell ref="BP38:BZ38"/>
    <mergeCell ref="BC39:BM39"/>
    <mergeCell ref="AP38:AZ38"/>
    <mergeCell ref="CC31:CM31"/>
    <mergeCell ref="GP30:GZ30"/>
    <mergeCell ref="FC30:FM30"/>
    <mergeCell ref="EP31:EZ31"/>
    <mergeCell ref="GC29:GM29"/>
    <mergeCell ref="FP30:FZ30"/>
    <mergeCell ref="GP31:GZ31"/>
    <mergeCell ref="CP31:CZ31"/>
    <mergeCell ref="GC30:GM30"/>
    <mergeCell ref="DP30:DZ30"/>
    <mergeCell ref="AP30:AZ30"/>
    <mergeCell ref="BC30:BM30"/>
    <mergeCell ref="P29:Z29"/>
    <mergeCell ref="AC29:AM29"/>
    <mergeCell ref="BC29:BM29"/>
    <mergeCell ref="GP29:GZ29"/>
    <mergeCell ref="EC30:EM30"/>
    <mergeCell ref="EP30:EZ30"/>
    <mergeCell ref="CC30:CM30"/>
    <mergeCell ref="CP30:CZ30"/>
    <mergeCell ref="C32:M32"/>
    <mergeCell ref="DC32:DM32"/>
    <mergeCell ref="AC32:AM32"/>
    <mergeCell ref="AP32:AZ32"/>
    <mergeCell ref="P32:Z32"/>
    <mergeCell ref="BP29:BZ29"/>
    <mergeCell ref="CP32:CZ32"/>
    <mergeCell ref="C31:M31"/>
    <mergeCell ref="P30:Z30"/>
    <mergeCell ref="AC30:AM30"/>
    <mergeCell ref="HC30:HM30"/>
    <mergeCell ref="HP30:HZ30"/>
    <mergeCell ref="IC30:IM30"/>
    <mergeCell ref="IP30:IV30"/>
    <mergeCell ref="IP29:IV29"/>
    <mergeCell ref="HC29:HM29"/>
    <mergeCell ref="HP29:HZ29"/>
    <mergeCell ref="IC29:IM29"/>
    <mergeCell ref="DC29:DM29"/>
    <mergeCell ref="FP29:FZ29"/>
    <mergeCell ref="DP29:DZ29"/>
    <mergeCell ref="EC29:EM29"/>
    <mergeCell ref="EP29:EZ29"/>
    <mergeCell ref="FC29:FM29"/>
    <mergeCell ref="CP29:CZ29"/>
    <mergeCell ref="P31:Z31"/>
    <mergeCell ref="AP31:AZ31"/>
    <mergeCell ref="AC38:AM38"/>
    <mergeCell ref="CC29:CM29"/>
    <mergeCell ref="AC31:AM31"/>
    <mergeCell ref="CC38:CM38"/>
    <mergeCell ref="CC32:CM32"/>
    <mergeCell ref="BP32:BZ32"/>
    <mergeCell ref="BC38:BM38"/>
    <mergeCell ref="C9:M9"/>
    <mergeCell ref="AP29:AZ29"/>
    <mergeCell ref="C5:M5"/>
    <mergeCell ref="C18:M18"/>
    <mergeCell ref="C19:M19"/>
    <mergeCell ref="C26:M26"/>
    <mergeCell ref="C8:M8"/>
    <mergeCell ref="C24:M24"/>
    <mergeCell ref="C6:M6"/>
    <mergeCell ref="C25:M25"/>
    <mergeCell ref="A2:E2"/>
    <mergeCell ref="A1:I1"/>
    <mergeCell ref="C3:M3"/>
    <mergeCell ref="C4:M4"/>
    <mergeCell ref="F2:I2"/>
    <mergeCell ref="C7:M7"/>
    <mergeCell ref="C65:M65"/>
    <mergeCell ref="C14:M14"/>
    <mergeCell ref="C15:M15"/>
    <mergeCell ref="C17:M17"/>
    <mergeCell ref="C35:M35"/>
    <mergeCell ref="C33:M33"/>
    <mergeCell ref="C28:M28"/>
    <mergeCell ref="C21:M21"/>
    <mergeCell ref="C20:M20"/>
    <mergeCell ref="C27:M27"/>
    <mergeCell ref="C22:M22"/>
    <mergeCell ref="C63:M63"/>
    <mergeCell ref="C64:M64"/>
    <mergeCell ref="C23:M23"/>
    <mergeCell ref="C62:M62"/>
    <mergeCell ref="C10:M10"/>
    <mergeCell ref="C12:M12"/>
    <mergeCell ref="C13:M13"/>
    <mergeCell ref="C11:M11"/>
    <mergeCell ref="C36:M36"/>
    <mergeCell ref="C80:M80"/>
    <mergeCell ref="C85:M85"/>
    <mergeCell ref="C86:M86"/>
    <mergeCell ref="C74:M74"/>
    <mergeCell ref="C16:M16"/>
    <mergeCell ref="C29:M29"/>
    <mergeCell ref="C34:M34"/>
    <mergeCell ref="C39:M39"/>
    <mergeCell ref="C37:M37"/>
    <mergeCell ref="C30:M30"/>
    <mergeCell ref="C66:M66"/>
    <mergeCell ref="C67:M67"/>
    <mergeCell ref="C87:M87"/>
    <mergeCell ref="C69:M69"/>
    <mergeCell ref="C73:M73"/>
    <mergeCell ref="C68:M68"/>
    <mergeCell ref="C70:M70"/>
    <mergeCell ref="A72:E72"/>
    <mergeCell ref="C84:M84"/>
    <mergeCell ref="C83:M83"/>
    <mergeCell ref="C90:M90"/>
    <mergeCell ref="C75:M75"/>
    <mergeCell ref="C76:M76"/>
    <mergeCell ref="C77:M77"/>
    <mergeCell ref="C78:M78"/>
    <mergeCell ref="C79:M79"/>
    <mergeCell ref="C89:M89"/>
    <mergeCell ref="C88:M88"/>
    <mergeCell ref="C81:M81"/>
    <mergeCell ref="C82:M8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2010-08-05T15:06:25Z</cp:lastPrinted>
  <dcterms:created xsi:type="dcterms:W3CDTF">1997-12-04T19:04:30Z</dcterms:created>
  <dcterms:modified xsi:type="dcterms:W3CDTF">2025-01-02T14:54:15Z</dcterms:modified>
</cp:coreProperties>
</file>