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9F31FA1-665B-406B-9294-666B3621EB06}" xr6:coauthVersionLast="47" xr6:coauthVersionMax="47" xr10:uidLastSave="{00000000-0000-0000-0000-000000000000}"/>
  <workbookProtection workbookPassword="B70A" lockStructure="1"/>
  <bookViews>
    <workbookView xWindow="3240" yWindow="3240" windowWidth="21600" windowHeight="11505" tabRatio="855" xr2:uid="{110430CB-8576-46F2-A600-F258837E094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1" i="1"/>
  <c r="F109" i="1"/>
  <c r="F113" i="1" s="1"/>
  <c r="F132" i="1" s="1"/>
  <c r="F42" i="1"/>
  <c r="H232" i="1"/>
  <c r="H214" i="1"/>
  <c r="L214" i="1" s="1"/>
  <c r="H196" i="1"/>
  <c r="D11" i="13"/>
  <c r="C37" i="12"/>
  <c r="C39" i="12"/>
  <c r="C38" i="12"/>
  <c r="C40" i="12" s="1"/>
  <c r="B37" i="12"/>
  <c r="B38" i="12"/>
  <c r="C10" i="12"/>
  <c r="H207" i="1"/>
  <c r="G207" i="1"/>
  <c r="L207" i="1" s="1"/>
  <c r="J581" i="1"/>
  <c r="I581" i="1"/>
  <c r="H581" i="1"/>
  <c r="I41" i="1"/>
  <c r="I9" i="1"/>
  <c r="H31" i="1"/>
  <c r="H25" i="1"/>
  <c r="E24" i="2" s="1"/>
  <c r="H23" i="1"/>
  <c r="E22" i="2" s="1"/>
  <c r="E32" i="2" s="1"/>
  <c r="H12" i="1"/>
  <c r="H13" i="1"/>
  <c r="H29" i="1"/>
  <c r="H455" i="1"/>
  <c r="J455" i="1"/>
  <c r="G23" i="1"/>
  <c r="F12" i="1"/>
  <c r="F14" i="1"/>
  <c r="F29" i="1"/>
  <c r="H574" i="1"/>
  <c r="K511" i="1"/>
  <c r="K514" i="1" s="1"/>
  <c r="K535" i="1" s="1"/>
  <c r="J511" i="1"/>
  <c r="J514" i="1" s="1"/>
  <c r="J535" i="1" s="1"/>
  <c r="I511" i="1"/>
  <c r="H511" i="1"/>
  <c r="G511" i="1"/>
  <c r="K512" i="1"/>
  <c r="J512" i="1"/>
  <c r="I512" i="1"/>
  <c r="H512" i="1"/>
  <c r="G512" i="1"/>
  <c r="J513" i="1"/>
  <c r="I513" i="1"/>
  <c r="H513" i="1"/>
  <c r="H514" i="1" s="1"/>
  <c r="H535" i="1" s="1"/>
  <c r="G513" i="1"/>
  <c r="L513" i="1" s="1"/>
  <c r="F541" i="1" s="1"/>
  <c r="F513" i="1"/>
  <c r="F512" i="1"/>
  <c r="F511" i="1"/>
  <c r="I269" i="1"/>
  <c r="I268" i="1"/>
  <c r="L268" i="1" s="1"/>
  <c r="H388" i="1"/>
  <c r="I392" i="1"/>
  <c r="L269" i="1"/>
  <c r="K262" i="1"/>
  <c r="L196" i="1"/>
  <c r="L232" i="1"/>
  <c r="L239" i="1"/>
  <c r="F128" i="1"/>
  <c r="H533" i="1"/>
  <c r="H532" i="1"/>
  <c r="H531" i="1"/>
  <c r="H487" i="1"/>
  <c r="I488" i="1"/>
  <c r="H488" i="1"/>
  <c r="G488" i="1"/>
  <c r="F488" i="1"/>
  <c r="B151" i="2" s="1"/>
  <c r="G151" i="2" s="1"/>
  <c r="C60" i="2"/>
  <c r="B2" i="13"/>
  <c r="F8" i="13"/>
  <c r="G8" i="13"/>
  <c r="D39" i="13"/>
  <c r="F13" i="13"/>
  <c r="G13" i="13"/>
  <c r="L198" i="1"/>
  <c r="L216" i="1"/>
  <c r="L234" i="1"/>
  <c r="E13" i="13"/>
  <c r="C13" i="13" s="1"/>
  <c r="F16" i="13"/>
  <c r="G16" i="13"/>
  <c r="L201" i="1"/>
  <c r="L219" i="1"/>
  <c r="L237" i="1"/>
  <c r="E16" i="13" s="1"/>
  <c r="C16" i="13" s="1"/>
  <c r="F5" i="13"/>
  <c r="G5" i="13"/>
  <c r="L189" i="1"/>
  <c r="L203" i="1" s="1"/>
  <c r="L190" i="1"/>
  <c r="C11" i="10" s="1"/>
  <c r="L191" i="1"/>
  <c r="C12" i="10" s="1"/>
  <c r="L192" i="1"/>
  <c r="L208" i="1"/>
  <c r="L209" i="1"/>
  <c r="L210" i="1"/>
  <c r="L225" i="1"/>
  <c r="L226" i="1"/>
  <c r="L227" i="1"/>
  <c r="L228" i="1"/>
  <c r="F6" i="13"/>
  <c r="G6" i="13"/>
  <c r="G33" i="13" s="1"/>
  <c r="L194" i="1"/>
  <c r="D6" i="13" s="1"/>
  <c r="C6" i="13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D17" i="13"/>
  <c r="C17" i="13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L351" i="1"/>
  <c r="F651" i="1" s="1"/>
  <c r="L352" i="1"/>
  <c r="I359" i="1"/>
  <c r="J282" i="1"/>
  <c r="F31" i="13" s="1"/>
  <c r="J301" i="1"/>
  <c r="J320" i="1"/>
  <c r="K282" i="1"/>
  <c r="G31" i="13" s="1"/>
  <c r="K301" i="1"/>
  <c r="K320" i="1"/>
  <c r="L270" i="1"/>
  <c r="L271" i="1"/>
  <c r="L273" i="1"/>
  <c r="L274" i="1"/>
  <c r="L275" i="1"/>
  <c r="E112" i="2" s="1"/>
  <c r="L276" i="1"/>
  <c r="E113" i="2" s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E111" i="2" s="1"/>
  <c r="L313" i="1"/>
  <c r="L314" i="1"/>
  <c r="L315" i="1"/>
  <c r="L316" i="1"/>
  <c r="C20" i="10" s="1"/>
  <c r="L317" i="1"/>
  <c r="L318" i="1"/>
  <c r="L325" i="1"/>
  <c r="E106" i="2" s="1"/>
  <c r="L326" i="1"/>
  <c r="L327" i="1"/>
  <c r="L252" i="1"/>
  <c r="L253" i="1"/>
  <c r="H25" i="13" s="1"/>
  <c r="L333" i="1"/>
  <c r="L334" i="1"/>
  <c r="L247" i="1"/>
  <c r="L328" i="1"/>
  <c r="F22" i="13"/>
  <c r="C22" i="13"/>
  <c r="C11" i="13"/>
  <c r="C10" i="13"/>
  <c r="C9" i="13"/>
  <c r="L353" i="1"/>
  <c r="B4" i="12"/>
  <c r="B36" i="12"/>
  <c r="A40" i="12" s="1"/>
  <c r="C36" i="12"/>
  <c r="B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/>
  <c r="F2" i="11"/>
  <c r="L603" i="1"/>
  <c r="L602" i="1"/>
  <c r="L601" i="1"/>
  <c r="C40" i="10"/>
  <c r="F52" i="1"/>
  <c r="G52" i="1"/>
  <c r="C35" i="10" s="1"/>
  <c r="H52" i="1"/>
  <c r="H104" i="1" s="1"/>
  <c r="H185" i="1" s="1"/>
  <c r="I52" i="1"/>
  <c r="I104" i="1" s="1"/>
  <c r="I185" i="1" s="1"/>
  <c r="F71" i="1"/>
  <c r="F86" i="1"/>
  <c r="F104" i="1" s="1"/>
  <c r="F103" i="1"/>
  <c r="G103" i="1"/>
  <c r="G104" i="1"/>
  <c r="H71" i="1"/>
  <c r="H86" i="1"/>
  <c r="H103" i="1"/>
  <c r="I103" i="1"/>
  <c r="J103" i="1"/>
  <c r="C37" i="10"/>
  <c r="G113" i="1"/>
  <c r="G132" i="1" s="1"/>
  <c r="G185" i="1" s="1"/>
  <c r="G128" i="1"/>
  <c r="H113" i="1"/>
  <c r="H128" i="1"/>
  <c r="H132" i="1"/>
  <c r="I113" i="1"/>
  <c r="I132" i="1" s="1"/>
  <c r="I128" i="1"/>
  <c r="J113" i="1"/>
  <c r="J132" i="1" s="1"/>
  <c r="J128" i="1"/>
  <c r="F139" i="1"/>
  <c r="C77" i="2" s="1"/>
  <c r="C83" i="2" s="1"/>
  <c r="F154" i="1"/>
  <c r="G139" i="1"/>
  <c r="G154" i="1"/>
  <c r="G161" i="1"/>
  <c r="H139" i="1"/>
  <c r="H154" i="1"/>
  <c r="H161" i="1"/>
  <c r="I139" i="1"/>
  <c r="I154" i="1"/>
  <c r="I161" i="1"/>
  <c r="C13" i="10"/>
  <c r="C19" i="10"/>
  <c r="L242" i="1"/>
  <c r="C23" i="10" s="1"/>
  <c r="L324" i="1"/>
  <c r="L246" i="1"/>
  <c r="C24" i="10"/>
  <c r="C25" i="10"/>
  <c r="L260" i="1"/>
  <c r="C26" i="10" s="1"/>
  <c r="L261" i="1"/>
  <c r="L341" i="1"/>
  <c r="E134" i="2" s="1"/>
  <c r="L342" i="1"/>
  <c r="E135" i="2" s="1"/>
  <c r="I655" i="1"/>
  <c r="I660" i="1"/>
  <c r="G652" i="1"/>
  <c r="H652" i="1"/>
  <c r="I659" i="1"/>
  <c r="C42" i="10"/>
  <c r="C32" i="10"/>
  <c r="L366" i="1"/>
  <c r="L367" i="1"/>
  <c r="L368" i="1"/>
  <c r="L369" i="1"/>
  <c r="L374" i="1" s="1"/>
  <c r="L370" i="1"/>
  <c r="L371" i="1"/>
  <c r="L372" i="1"/>
  <c r="C29" i="10"/>
  <c r="B2" i="10"/>
  <c r="L336" i="1"/>
  <c r="L337" i="1"/>
  <c r="L338" i="1"/>
  <c r="L339" i="1"/>
  <c r="K343" i="1"/>
  <c r="L511" i="1"/>
  <c r="F539" i="1" s="1"/>
  <c r="L512" i="1"/>
  <c r="F540" i="1"/>
  <c r="L516" i="1"/>
  <c r="G539" i="1" s="1"/>
  <c r="G542" i="1" s="1"/>
  <c r="L517" i="1"/>
  <c r="G540" i="1"/>
  <c r="L518" i="1"/>
  <c r="G541" i="1"/>
  <c r="L521" i="1"/>
  <c r="H539" i="1"/>
  <c r="L522" i="1"/>
  <c r="H540" i="1"/>
  <c r="L523" i="1"/>
  <c r="H541" i="1"/>
  <c r="H542" i="1" s="1"/>
  <c r="L526" i="1"/>
  <c r="I539" i="1"/>
  <c r="L527" i="1"/>
  <c r="L529" i="1" s="1"/>
  <c r="I540" i="1"/>
  <c r="L528" i="1"/>
  <c r="I541" i="1" s="1"/>
  <c r="L531" i="1"/>
  <c r="J539" i="1"/>
  <c r="L532" i="1"/>
  <c r="J540" i="1"/>
  <c r="J542" i="1" s="1"/>
  <c r="L533" i="1"/>
  <c r="J541" i="1" s="1"/>
  <c r="K540" i="1"/>
  <c r="E124" i="2"/>
  <c r="E123" i="2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/>
  <c r="J19" i="1" s="1"/>
  <c r="G611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/>
  <c r="G12" i="2"/>
  <c r="C13" i="2"/>
  <c r="D13" i="2"/>
  <c r="E13" i="2"/>
  <c r="F13" i="2"/>
  <c r="I434" i="1"/>
  <c r="J13" i="1" s="1"/>
  <c r="G13" i="2" s="1"/>
  <c r="C14" i="2"/>
  <c r="D14" i="2"/>
  <c r="E14" i="2"/>
  <c r="F14" i="2"/>
  <c r="I435" i="1"/>
  <c r="I438" i="1" s="1"/>
  <c r="G632" i="1" s="1"/>
  <c r="J14" i="1"/>
  <c r="G14" i="2" s="1"/>
  <c r="F15" i="2"/>
  <c r="C16" i="2"/>
  <c r="D16" i="2"/>
  <c r="D19" i="2" s="1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E19" i="2"/>
  <c r="F19" i="2"/>
  <c r="C22" i="2"/>
  <c r="D22" i="2"/>
  <c r="F22" i="2"/>
  <c r="I440" i="1"/>
  <c r="J23" i="1"/>
  <c r="G22" i="2" s="1"/>
  <c r="G32" i="2" s="1"/>
  <c r="C23" i="2"/>
  <c r="D23" i="2"/>
  <c r="D32" i="2" s="1"/>
  <c r="E23" i="2"/>
  <c r="F23" i="2"/>
  <c r="F32" i="2" s="1"/>
  <c r="I441" i="1"/>
  <c r="J24" i="1" s="1"/>
  <c r="G23" i="2" s="1"/>
  <c r="C24" i="2"/>
  <c r="C32" i="2" s="1"/>
  <c r="D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J32" i="1"/>
  <c r="G31" i="2" s="1"/>
  <c r="C34" i="2"/>
  <c r="D34" i="2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I450" i="1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D42" i="2"/>
  <c r="D43" i="2" s="1"/>
  <c r="C48" i="2"/>
  <c r="D48" i="2"/>
  <c r="E48" i="2"/>
  <c r="E55" i="2" s="1"/>
  <c r="F48" i="2"/>
  <c r="C49" i="2"/>
  <c r="C54" i="2" s="1"/>
  <c r="C55" i="2" s="1"/>
  <c r="E49" i="2"/>
  <c r="C50" i="2"/>
  <c r="E50" i="2"/>
  <c r="C51" i="2"/>
  <c r="D51" i="2"/>
  <c r="D54" i="2" s="1"/>
  <c r="D55" i="2" s="1"/>
  <c r="E51" i="2"/>
  <c r="E54" i="2" s="1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G62" i="2" s="1"/>
  <c r="D62" i="2"/>
  <c r="E62" i="2"/>
  <c r="F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C70" i="2"/>
  <c r="C73" i="2" s="1"/>
  <c r="C71" i="2"/>
  <c r="D71" i="2"/>
  <c r="E71" i="2"/>
  <c r="C72" i="2"/>
  <c r="E72" i="2"/>
  <c r="D77" i="2"/>
  <c r="D83" i="2" s="1"/>
  <c r="E77" i="2"/>
  <c r="F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F83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3" i="2"/>
  <c r="C104" i="2"/>
  <c r="E104" i="2"/>
  <c r="C105" i="2"/>
  <c r="E105" i="2"/>
  <c r="C106" i="2"/>
  <c r="D107" i="2"/>
  <c r="F107" i="2"/>
  <c r="G107" i="2"/>
  <c r="E110" i="2"/>
  <c r="C111" i="2"/>
  <c r="C114" i="2"/>
  <c r="E114" i="2"/>
  <c r="C115" i="2"/>
  <c r="E115" i="2"/>
  <c r="E116" i="2"/>
  <c r="C117" i="2"/>
  <c r="E117" i="2"/>
  <c r="F120" i="2"/>
  <c r="G120" i="2"/>
  <c r="C122" i="2"/>
  <c r="E122" i="2"/>
  <c r="F122" i="2"/>
  <c r="F136" i="2" s="1"/>
  <c r="D126" i="2"/>
  <c r="D136" i="2" s="1"/>
  <c r="E126" i="2"/>
  <c r="F126" i="2"/>
  <c r="K411" i="1"/>
  <c r="K419" i="1"/>
  <c r="K426" i="1" s="1"/>
  <c r="G126" i="2" s="1"/>
  <c r="G136" i="2" s="1"/>
  <c r="K425" i="1"/>
  <c r="L255" i="1"/>
  <c r="C127" i="2" s="1"/>
  <c r="E127" i="2"/>
  <c r="L256" i="1"/>
  <c r="C128" i="2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G149" i="2" s="1"/>
  <c r="F149" i="2"/>
  <c r="B150" i="2"/>
  <c r="C150" i="2"/>
  <c r="D150" i="2"/>
  <c r="E150" i="2"/>
  <c r="F150" i="2"/>
  <c r="G150" i="2"/>
  <c r="C151" i="2"/>
  <c r="D151" i="2"/>
  <c r="E151" i="2"/>
  <c r="F151" i="2"/>
  <c r="B152" i="2"/>
  <c r="C152" i="2"/>
  <c r="D152" i="2"/>
  <c r="E152" i="2"/>
  <c r="F152" i="2"/>
  <c r="G152" i="2"/>
  <c r="G490" i="1"/>
  <c r="C153" i="2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 s="1"/>
  <c r="H493" i="1"/>
  <c r="D156" i="2" s="1"/>
  <c r="I493" i="1"/>
  <c r="E156" i="2"/>
  <c r="J493" i="1"/>
  <c r="F156" i="2" s="1"/>
  <c r="F19" i="1"/>
  <c r="G607" i="1" s="1"/>
  <c r="G19" i="1"/>
  <c r="G608" i="1" s="1"/>
  <c r="H19" i="1"/>
  <c r="I19" i="1"/>
  <c r="F33" i="1"/>
  <c r="G33" i="1"/>
  <c r="I33" i="1"/>
  <c r="F43" i="1"/>
  <c r="F44" i="1" s="1"/>
  <c r="H607" i="1" s="1"/>
  <c r="G43" i="1"/>
  <c r="G613" i="1" s="1"/>
  <c r="H43" i="1"/>
  <c r="I43" i="1"/>
  <c r="I44" i="1" s="1"/>
  <c r="H610" i="1" s="1"/>
  <c r="J610" i="1" s="1"/>
  <c r="F169" i="1"/>
  <c r="F184" i="1" s="1"/>
  <c r="I169" i="1"/>
  <c r="I184" i="1" s="1"/>
  <c r="F175" i="1"/>
  <c r="G175" i="1"/>
  <c r="H175" i="1"/>
  <c r="H184" i="1" s="1"/>
  <c r="I175" i="1"/>
  <c r="J175" i="1"/>
  <c r="F180" i="1"/>
  <c r="G180" i="1"/>
  <c r="H180" i="1"/>
  <c r="I180" i="1"/>
  <c r="G184" i="1"/>
  <c r="J184" i="1"/>
  <c r="F203" i="1"/>
  <c r="G203" i="1"/>
  <c r="G249" i="1" s="1"/>
  <c r="G263" i="1" s="1"/>
  <c r="H203" i="1"/>
  <c r="I203" i="1"/>
  <c r="J203" i="1"/>
  <c r="H594" i="1" s="1"/>
  <c r="K203" i="1"/>
  <c r="K249" i="1" s="1"/>
  <c r="K263" i="1" s="1"/>
  <c r="F221" i="1"/>
  <c r="G221" i="1"/>
  <c r="H221" i="1"/>
  <c r="H249" i="1" s="1"/>
  <c r="H263" i="1" s="1"/>
  <c r="I221" i="1"/>
  <c r="I249" i="1" s="1"/>
  <c r="I263" i="1" s="1"/>
  <c r="J221" i="1"/>
  <c r="I594" i="1" s="1"/>
  <c r="K221" i="1"/>
  <c r="F239" i="1"/>
  <c r="G239" i="1"/>
  <c r="H239" i="1"/>
  <c r="I239" i="1"/>
  <c r="J239" i="1"/>
  <c r="J594" i="1" s="1"/>
  <c r="K239" i="1"/>
  <c r="F248" i="1"/>
  <c r="L248" i="1" s="1"/>
  <c r="G248" i="1"/>
  <c r="H248" i="1"/>
  <c r="I248" i="1"/>
  <c r="J248" i="1"/>
  <c r="K248" i="1"/>
  <c r="F249" i="1"/>
  <c r="F263" i="1" s="1"/>
  <c r="F282" i="1"/>
  <c r="G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G330" i="1"/>
  <c r="G344" i="1" s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J426" i="1" s="1"/>
  <c r="F426" i="1"/>
  <c r="H426" i="1"/>
  <c r="I426" i="1"/>
  <c r="F438" i="1"/>
  <c r="G438" i="1"/>
  <c r="G630" i="1" s="1"/>
  <c r="H438" i="1"/>
  <c r="F444" i="1"/>
  <c r="F451" i="1" s="1"/>
  <c r="H629" i="1" s="1"/>
  <c r="J629" i="1" s="1"/>
  <c r="G444" i="1"/>
  <c r="H444" i="1"/>
  <c r="H451" i="1" s="1"/>
  <c r="H631" i="1" s="1"/>
  <c r="J631" i="1" s="1"/>
  <c r="F450" i="1"/>
  <c r="G450" i="1"/>
  <c r="G451" i="1" s="1"/>
  <c r="H630" i="1" s="1"/>
  <c r="H450" i="1"/>
  <c r="J464" i="1"/>
  <c r="K485" i="1"/>
  <c r="K486" i="1"/>
  <c r="K487" i="1"/>
  <c r="K489" i="1"/>
  <c r="K491" i="1"/>
  <c r="K492" i="1"/>
  <c r="F507" i="1"/>
  <c r="G507" i="1"/>
  <c r="H507" i="1"/>
  <c r="I507" i="1"/>
  <c r="F514" i="1"/>
  <c r="F535" i="1" s="1"/>
  <c r="I514" i="1"/>
  <c r="F519" i="1"/>
  <c r="G519" i="1"/>
  <c r="H519" i="1"/>
  <c r="I519" i="1"/>
  <c r="J519" i="1"/>
  <c r="K519" i="1"/>
  <c r="L519" i="1"/>
  <c r="F524" i="1"/>
  <c r="G524" i="1"/>
  <c r="H524" i="1"/>
  <c r="I524" i="1"/>
  <c r="I53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G550" i="1"/>
  <c r="H550" i="1"/>
  <c r="H561" i="1" s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H641" i="1" s="1"/>
  <c r="J641" i="1" s="1"/>
  <c r="K592" i="1"/>
  <c r="K593" i="1"/>
  <c r="F604" i="1"/>
  <c r="G604" i="1"/>
  <c r="H604" i="1"/>
  <c r="I604" i="1"/>
  <c r="J604" i="1"/>
  <c r="K604" i="1"/>
  <c r="L604" i="1"/>
  <c r="G609" i="1"/>
  <c r="G610" i="1"/>
  <c r="G612" i="1"/>
  <c r="G624" i="1"/>
  <c r="J624" i="1" s="1"/>
  <c r="H624" i="1"/>
  <c r="H628" i="1"/>
  <c r="G629" i="1"/>
  <c r="G631" i="1"/>
  <c r="G633" i="1"/>
  <c r="G634" i="1"/>
  <c r="G635" i="1"/>
  <c r="H639" i="1"/>
  <c r="G640" i="1"/>
  <c r="J640" i="1" s="1"/>
  <c r="H640" i="1"/>
  <c r="G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H653" i="1" l="1"/>
  <c r="J595" i="1"/>
  <c r="F653" i="1"/>
  <c r="I653" i="1" s="1"/>
  <c r="K594" i="1"/>
  <c r="K595" i="1" s="1"/>
  <c r="G638" i="1" s="1"/>
  <c r="H595" i="1"/>
  <c r="E120" i="2"/>
  <c r="H650" i="1"/>
  <c r="K541" i="1"/>
  <c r="L426" i="1"/>
  <c r="G628" i="1" s="1"/>
  <c r="J628" i="1" s="1"/>
  <c r="G137" i="2"/>
  <c r="D96" i="2"/>
  <c r="I451" i="1"/>
  <c r="H632" i="1" s="1"/>
  <c r="J632" i="1" s="1"/>
  <c r="I542" i="1"/>
  <c r="C130" i="2"/>
  <c r="C133" i="2" s="1"/>
  <c r="L400" i="1"/>
  <c r="J630" i="1"/>
  <c r="F137" i="2"/>
  <c r="G626" i="1"/>
  <c r="I462" i="1"/>
  <c r="E136" i="2"/>
  <c r="F33" i="13"/>
  <c r="J607" i="1"/>
  <c r="F542" i="1"/>
  <c r="K539" i="1"/>
  <c r="K542" i="1" s="1"/>
  <c r="G653" i="1"/>
  <c r="I595" i="1"/>
  <c r="G73" i="2"/>
  <c r="C96" i="2"/>
  <c r="C112" i="2"/>
  <c r="E8" i="13"/>
  <c r="C17" i="10"/>
  <c r="F55" i="2"/>
  <c r="F96" i="2" s="1"/>
  <c r="C25" i="13"/>
  <c r="H33" i="13"/>
  <c r="L282" i="1"/>
  <c r="E101" i="2"/>
  <c r="E107" i="2" s="1"/>
  <c r="E137" i="2" s="1"/>
  <c r="E96" i="2"/>
  <c r="G618" i="1"/>
  <c r="G458" i="1"/>
  <c r="G620" i="1"/>
  <c r="I458" i="1"/>
  <c r="G621" i="1"/>
  <c r="J458" i="1"/>
  <c r="G636" i="1"/>
  <c r="F650" i="1"/>
  <c r="C10" i="10"/>
  <c r="C101" i="2"/>
  <c r="L221" i="1"/>
  <c r="G650" i="1" s="1"/>
  <c r="H458" i="1"/>
  <c r="G619" i="1"/>
  <c r="C38" i="10"/>
  <c r="G156" i="2"/>
  <c r="C36" i="10"/>
  <c r="C103" i="2"/>
  <c r="D29" i="13"/>
  <c r="C29" i="13" s="1"/>
  <c r="G514" i="1"/>
  <c r="G535" i="1" s="1"/>
  <c r="E102" i="2"/>
  <c r="C16" i="10"/>
  <c r="F161" i="1"/>
  <c r="C39" i="10" s="1"/>
  <c r="D5" i="13"/>
  <c r="G639" i="1"/>
  <c r="J639" i="1" s="1"/>
  <c r="G615" i="1"/>
  <c r="J249" i="1"/>
  <c r="J33" i="1"/>
  <c r="C102" i="2"/>
  <c r="J37" i="1"/>
  <c r="G9" i="2"/>
  <c r="G19" i="2" s="1"/>
  <c r="C15" i="10"/>
  <c r="G48" i="2"/>
  <c r="G55" i="2" s="1"/>
  <c r="L354" i="1"/>
  <c r="C116" i="2"/>
  <c r="C18" i="10"/>
  <c r="K493" i="1"/>
  <c r="H33" i="1"/>
  <c r="H44" i="1" s="1"/>
  <c r="H609" i="1" s="1"/>
  <c r="J609" i="1" s="1"/>
  <c r="L343" i="1"/>
  <c r="F652" i="1"/>
  <c r="I652" i="1" s="1"/>
  <c r="G614" i="1"/>
  <c r="L514" i="1"/>
  <c r="L535" i="1" s="1"/>
  <c r="C113" i="2"/>
  <c r="C110" i="2"/>
  <c r="H651" i="1"/>
  <c r="H637" i="1"/>
  <c r="J637" i="1" s="1"/>
  <c r="J330" i="1"/>
  <c r="J344" i="1" s="1"/>
  <c r="G44" i="1"/>
  <c r="H608" i="1" s="1"/>
  <c r="J608" i="1" s="1"/>
  <c r="D119" i="2"/>
  <c r="D120" i="2" s="1"/>
  <c r="D137" i="2" s="1"/>
  <c r="G651" i="1"/>
  <c r="I651" i="1" s="1"/>
  <c r="D15" i="13"/>
  <c r="C15" i="13" s="1"/>
  <c r="K488" i="1"/>
  <c r="F490" i="1"/>
  <c r="J626" i="1" l="1"/>
  <c r="G625" i="1"/>
  <c r="G462" i="1"/>
  <c r="C27" i="10"/>
  <c r="J621" i="1"/>
  <c r="G96" i="2"/>
  <c r="I460" i="1"/>
  <c r="H620" i="1"/>
  <c r="C136" i="2"/>
  <c r="C120" i="2"/>
  <c r="J619" i="1"/>
  <c r="J620" i="1"/>
  <c r="H654" i="1"/>
  <c r="H460" i="1"/>
  <c r="H619" i="1"/>
  <c r="H618" i="1"/>
  <c r="G460" i="1"/>
  <c r="J460" i="1"/>
  <c r="J466" i="1" s="1"/>
  <c r="H616" i="1" s="1"/>
  <c r="H621" i="1"/>
  <c r="H627" i="1"/>
  <c r="J43" i="1"/>
  <c r="G36" i="2"/>
  <c r="G42" i="2" s="1"/>
  <c r="G43" i="2" s="1"/>
  <c r="J618" i="1"/>
  <c r="B153" i="2"/>
  <c r="G153" i="2" s="1"/>
  <c r="K490" i="1"/>
  <c r="G654" i="1"/>
  <c r="C8" i="13"/>
  <c r="E33" i="13"/>
  <c r="D35" i="13" s="1"/>
  <c r="G627" i="1"/>
  <c r="H636" i="1"/>
  <c r="J636" i="1" s="1"/>
  <c r="C107" i="2"/>
  <c r="C137" i="2" s="1"/>
  <c r="J263" i="1"/>
  <c r="H638" i="1"/>
  <c r="J638" i="1" s="1"/>
  <c r="C28" i="10"/>
  <c r="D16" i="10" s="1"/>
  <c r="C41" i="10"/>
  <c r="I650" i="1"/>
  <c r="I654" i="1" s="1"/>
  <c r="F654" i="1"/>
  <c r="L330" i="1"/>
  <c r="L344" i="1" s="1"/>
  <c r="D31" i="13"/>
  <c r="C31" i="13" s="1"/>
  <c r="D36" i="10"/>
  <c r="L249" i="1"/>
  <c r="L263" i="1" s="1"/>
  <c r="F185" i="1"/>
  <c r="C5" i="13"/>
  <c r="I464" i="1"/>
  <c r="H626" i="1"/>
  <c r="H462" i="1" l="1"/>
  <c r="G623" i="1"/>
  <c r="F662" i="1"/>
  <c r="C4" i="10" s="1"/>
  <c r="F657" i="1"/>
  <c r="J627" i="1"/>
  <c r="J44" i="1"/>
  <c r="H611" i="1" s="1"/>
  <c r="J611" i="1" s="1"/>
  <c r="G616" i="1"/>
  <c r="I662" i="1"/>
  <c r="C7" i="10" s="1"/>
  <c r="I657" i="1"/>
  <c r="I466" i="1"/>
  <c r="H615" i="1" s="1"/>
  <c r="J615" i="1" s="1"/>
  <c r="D40" i="10"/>
  <c r="D37" i="10"/>
  <c r="D35" i="10"/>
  <c r="G466" i="1"/>
  <c r="H613" i="1" s="1"/>
  <c r="J613" i="1" s="1"/>
  <c r="D38" i="10"/>
  <c r="G662" i="1"/>
  <c r="C5" i="10" s="1"/>
  <c r="G657" i="1"/>
  <c r="D33" i="13"/>
  <c r="D36" i="13" s="1"/>
  <c r="D39" i="10"/>
  <c r="D18" i="10"/>
  <c r="D10" i="10"/>
  <c r="H662" i="1"/>
  <c r="C6" i="10" s="1"/>
  <c r="H657" i="1"/>
  <c r="G617" i="1"/>
  <c r="F458" i="1"/>
  <c r="D25" i="10"/>
  <c r="D22" i="10"/>
  <c r="C30" i="10"/>
  <c r="D11" i="10"/>
  <c r="D12" i="10"/>
  <c r="D19" i="10"/>
  <c r="D21" i="10"/>
  <c r="D13" i="10"/>
  <c r="D20" i="10"/>
  <c r="D26" i="10"/>
  <c r="D23" i="10"/>
  <c r="D24" i="10"/>
  <c r="D17" i="10"/>
  <c r="D27" i="10"/>
  <c r="F462" i="1"/>
  <c r="G622" i="1"/>
  <c r="G464" i="1"/>
  <c r="H625" i="1"/>
  <c r="J625" i="1" s="1"/>
  <c r="D15" i="10"/>
  <c r="D28" i="10" l="1"/>
  <c r="J616" i="1"/>
  <c r="H622" i="1"/>
  <c r="J622" i="1" s="1"/>
  <c r="F464" i="1"/>
  <c r="H617" i="1"/>
  <c r="F460" i="1"/>
  <c r="J623" i="1"/>
  <c r="J617" i="1"/>
  <c r="D41" i="10"/>
  <c r="H464" i="1"/>
  <c r="H466" i="1" s="1"/>
  <c r="H614" i="1" s="1"/>
  <c r="J614" i="1" s="1"/>
  <c r="H623" i="1"/>
  <c r="F466" i="1" l="1"/>
  <c r="H612" i="1" s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33783CC-5756-454E-A590-5F51AC898B0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489DCAA-0CC1-4B50-A4B8-8615C7DF5C4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D930290-DDC4-4346-B808-5F400E1C2FA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F0D83CD-0C23-40B6-B80F-AB1892E6779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AEF092F-8436-4AD1-8D7C-01B6AA83A91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91E6EAB-B05F-4409-BFF5-DE8588F7333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CF73194-1A02-4CE5-8AC5-B9B5A7D37EA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C08FAB2-1864-402C-9C8D-0C3E74E45E2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0785EC2-9F97-44B1-91B4-7660BC6B684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F51E85E-1CD9-4B58-A57E-10F88531878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1728252-AA90-40E5-BE3A-652727AE5AA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B6D1065-6A7B-42FD-848D-C2C54181CD4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<sst xmlns="http://schemas.openxmlformats.org/spreadsheetml/2006/main" count="3866" uniqueCount="903">
  <si>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</si>
  <si>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</si>
  <si>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</si>
  <si>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</si>
  <si>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</si>
  <si>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</si>
  <si>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</si>
  <si>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</si>
  <si>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</si>
  <si>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</si>
  <si>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</si>
  <si>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</si>
  <si>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</si>
  <si>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</si>
  <si>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</si>
  <si>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</si>
  <si>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</si>
  <si>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</si>
  <si>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</si>
  <si>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</si>
  <si>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</si>
  <si>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</si>
  <si>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</si>
  <si>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</si>
  <si>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</si>
  <si>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</si>
  <si>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</si>
  <si>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</si>
  <si>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</si>
  <si>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</si>
  <si>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</si>
  <si>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</si>
  <si>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</si>
  <si>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</si>
  <si>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</si>
  <si>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</si>
  <si>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</si>
  <si>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</si>
  <si>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</si>
  <si>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</si>
  <si>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</si>
  <si>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</si>
  <si>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</si>
  <si>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</si>
  <si>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</si>
  <si>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</si>
  <si>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</si>
  <si>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</si>
  <si>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</si>
  <si>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</si>
  <si>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</si>
  <si>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</si>
  <si>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</si>
  <si>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</si>
  <si>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</si>
  <si>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</si>
  <si>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</si>
  <si>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</si>
  <si>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</si>
  <si>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</si>
  <si>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</si>
  <si>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</si>
  <si>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</si>
  <si>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</si>
  <si>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</si>
  <si>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</si>
  <si>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</si>
  <si>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</si>
  <si>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</si>
  <si>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</si>
  <si>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</si>
  <si>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</si>
  <si>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</si>
  <si>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</si>
  <si>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</si>
  <si>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</si>
  <si>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</si>
  <si>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</si>
  <si>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</si>
  <si>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</si>
  <si>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</si>
  <si>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</si>
  <si>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</si>
  <si>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</si>
  <si>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</si>
  <si>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</si>
  <si>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</si>
  <si>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</si>
  <si>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</si>
  <si>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</si>
  <si>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</si>
  <si>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</si>
  <si>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</si>
  <si>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</si>
  <si>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</si>
  <si>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</si>
  <si>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</si>
  <si>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</si>
  <si>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</si>
  <si>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</si>
  <si>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</si>
  <si>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</si>
  <si>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</si>
  <si>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</si>
  <si>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</si>
  <si>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</si>
  <si>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</si>
  <si>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</si>
  <si>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</si>
  <si>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</si>
  <si>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</si>
  <si>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</si>
  <si>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</si>
  <si>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</si>
  <si>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</si>
  <si>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</si>
  <si>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</si>
  <si>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</si>
  <si>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</si>
  <si>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</si>
  <si>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</si>
  <si>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</si>
  <si>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</si>
  <si>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</si>
  <si>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</si>
  <si>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</si>
  <si>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</si>
  <si>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</si>
  <si>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</si>
  <si>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</si>
  <si>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</si>
  <si>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</si>
  <si>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</si>
  <si>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</si>
  <si>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</si>
  <si>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</si>
  <si>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</si>
  <si>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</si>
  <si>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</si>
  <si>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</si>
  <si>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</si>
  <si>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</si>
  <si>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</si>
  <si>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</si>
  <si>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</si>
  <si>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</si>
  <si>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</si>
  <si>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</si>
  <si>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</si>
  <si>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</si>
  <si>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</si>
  <si>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</si>
  <si>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</si>
  <si>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</si>
  <si>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</si>
  <si>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</si>
  <si>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</si>
  <si>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</si>
  <si>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</si>
  <si>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</si>
  <si>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</si>
  <si>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</si>
  <si>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</si>
  <si>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</si>
  <si>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</si>
  <si>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</si>
  <si>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</si>
  <si>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</si>
  <si>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</si>
  <si>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</si>
  <si>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</si>
  <si>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</si>
  <si>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</si>
  <si>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</si>
  <si>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</si>
  <si>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</si>
  <si>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</si>
  <si>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</si>
  <si>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</si>
  <si>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</si>
  <si>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</si>
  <si>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</si>
  <si>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</si>
  <si>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</si>
  <si>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</si>
  <si>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</si>
  <si>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</si>
  <si>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</si>
  <si>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</si>
  <si>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</si>
  <si>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</si>
  <si>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</si>
  <si>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</si>
  <si>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</si>
  <si>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</si>
  <si>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</si>
  <si>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</si>
  <si>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</si>
  <si>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</si>
  <si>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</si>
  <si>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</si>
  <si>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</si>
  <si>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</si>
  <si>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</si>
  <si>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</si>
  <si>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</si>
  <si>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</si>
  <si>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</si>
  <si>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</si>
  <si>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</si>
  <si>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</si>
  <si>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</si>
  <si>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</si>
  <si>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</si>
  <si>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</si>
  <si>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</si>
  <si>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</si>
  <si>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</si>
  <si>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</si>
  <si>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</si>
  <si>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</si>
  <si>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</si>
  <si>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</si>
  <si>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</si>
  <si>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</si>
  <si>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</si>
  <si>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</si>
  <si>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</si>
  <si>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</si>
  <si>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</si>
  <si>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</si>
  <si>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</si>
  <si>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</si>
  <si>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</si>
  <si>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</si>
  <si>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</si>
  <si>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</si>
  <si>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</si>
  <si>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</si>
  <si>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</si>
  <si>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</si>
  <si>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</si>
  <si>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</si>
  <si>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</si>
  <si>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</si>
  <si>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</si>
  <si>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</si>
  <si>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</si>
  <si>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</si>
  <si>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</si>
  <si>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</si>
  <si>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</si>
  <si>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</si>
  <si>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</si>
  <si>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</si>
  <si>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</si>
  <si>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</si>
  <si>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</si>
  <si>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</si>
  <si>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</si>
  <si>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</si>
  <si>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</si>
  <si>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</si>
  <si>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</si>
  <si>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</si>
  <si>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</si>
  <si>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</si>
  <si>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</si>
  <si>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</si>
  <si>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</si>
  <si>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</si>
  <si>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</si>
  <si>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</si>
  <si>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</si>
  <si>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</si>
  <si>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</si>
  <si>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</si>
  <si>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</si>
  <si>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</si>
  <si>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</si>
  <si>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</si>
  <si>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</si>
  <si>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</si>
  <si>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</si>
  <si>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</si>
  <si>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</si>
  <si>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</si>
  <si>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</si>
  <si>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</si>
  <si>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</si>
  <si>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</si>
  <si>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</si>
  <si>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</si>
  <si>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</si>
  <si>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</si>
  <si>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</si>
  <si>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</si>
  <si>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</si>
  <si>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</si>
  <si>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</si>
  <si>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</si>
  <si>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</si>
  <si>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</si>
  <si>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</si>
  <si>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</si>
  <si>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</si>
  <si>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</si>
  <si>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</si>
  <si>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</si>
  <si>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</si>
  <si>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</si>
  <si>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</si>
  <si>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</si>
  <si>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</si>
  <si>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</si>
  <si>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</si>
  <si>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</si>
  <si>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</si>
  <si>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</si>
  <si>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</si>
  <si>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</si>
  <si>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</si>
  <si>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</si>
  <si>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</si>
  <si>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</si>
  <si>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</si>
  <si>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</si>
  <si>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</si>
  <si>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</si>
  <si>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</si>
  <si>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</si>
  <si>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</si>
  <si>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</si>
  <si>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</si>
  <si>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</si>
  <si>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</si>
  <si>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</si>
  <si>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</si>
  <si>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</si>
  <si>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</si>
  <si>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</si>
  <si>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</si>
  <si>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</si>
  <si>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</si>
  <si>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</si>
  <si>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</si>
  <si>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</si>
  <si>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</si>
  <si>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</si>
  <si>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</si>
  <si>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</si>
  <si>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</si>
  <si>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</si>
  <si>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</si>
  <si>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</si>
  <si>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</si>
  <si>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</si>
  <si>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</si>
  <si>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</si>
  <si>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</si>
  <si>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</si>
  <si>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</si>
  <si>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</si>
  <si>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</si>
  <si>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</si>
  <si>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</si>
  <si>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</si>
  <si>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</si>
  <si>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</si>
  <si>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</si>
  <si>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</si>
  <si>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</si>
  <si>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</si>
  <si>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</si>
  <si>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</si>
  <si>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</si>
  <si>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</si>
  <si>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</si>
  <si>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</si>
  <si>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</si>
  <si>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</si>
  <si>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</si>
  <si>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</si>
  <si>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</si>
  <si>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</si>
  <si>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</si>
  <si>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</si>
  <si>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</si>
  <si>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</si>
  <si>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</si>
  <si>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</si>
  <si>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</si>
  <si>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</si>
  <si>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</si>
  <si>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</si>
  <si>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</si>
  <si>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</si>
  <si>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</si>
  <si>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</si>
  <si>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</si>
  <si>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</si>
  <si>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</si>
  <si>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</si>
  <si>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</si>
  <si>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</si>
  <si>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</si>
  <si>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</si>
  <si>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</si>
  <si>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</si>
  <si>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</si>
  <si>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</si>
  <si>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</si>
  <si>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</si>
  <si>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</si>
  <si>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</si>
  <si>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</si>
  <si>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</si>
  <si>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</si>
  <si>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</si>
  <si>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</si>
  <si>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</si>
  <si>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</si>
  <si>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</si>
  <si>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</si>
  <si>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</si>
  <si>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</si>
  <si>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</si>
  <si>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</si>
  <si>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</si>
  <si>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</si>
  <si>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</si>
  <si>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</si>
  <si>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</si>
  <si>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</si>
  <si>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</si>
  <si>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</si>
  <si>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</si>
  <si>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</si>
  <si>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</si>
  <si>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</si>
  <si>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</si>
  <si>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</si>
  <si>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</si>
  <si>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</si>
  <si>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</si>
  <si>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</si>
  <si>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</si>
  <si>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</si>
  <si>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</si>
  <si>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</si>
  <si>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</si>
  <si>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</si>
  <si>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</si>
  <si>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</si>
  <si>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</si>
  <si>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</si>
  <si>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</si>
  <si>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</si>
  <si>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</si>
  <si>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</si>
  <si>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</si>
  <si>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</si>
  <si>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</si>
  <si>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</si>
  <si>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</si>
  <si>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</si>
  <si>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</si>
  <si>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</si>
  <si>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</si>
  <si>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</si>
  <si>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</si>
  <si>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</si>
  <si>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</si>
  <si>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</si>
  <si>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</si>
  <si>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</si>
  <si>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</si>
  <si>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</si>
  <si>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</si>
  <si>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</si>
  <si>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</si>
  <si>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</si>
  <si>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</si>
  <si>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</si>
  <si>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</si>
  <si>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</si>
  <si>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</si>
  <si>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</si>
  <si>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</si>
  <si>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</si>
  <si>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</si>
  <si>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</si>
  <si>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</si>
  <si>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</si>
  <si>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</si>
  <si>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</si>
  <si>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</si>
  <si>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</si>
  <si>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</si>
  <si>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</si>
  <si>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</si>
  <si>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</si>
  <si>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</si>
  <si>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</si>
  <si>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</si>
  <si>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</si>
  <si>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</si>
  <si>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</si>
  <si>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</si>
  <si>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</si>
  <si>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</si>
  <si>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</si>
  <si>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</si>
  <si>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</si>
  <si>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</si>
  <si>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</si>
  <si>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</si>
  <si>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</si>
  <si>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</si>
  <si>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</si>
  <si>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</si>
  <si>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</si>
  <si>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</si>
  <si>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</si>
  <si>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</si>
  <si>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</si>
  <si>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</si>
  <si>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</si>
  <si>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</si>
  <si>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</si>
  <si>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</si>
  <si>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</si>
  <si>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</si>
  <si>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</si>
  <si>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</si>
  <si>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</si>
  <si>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</si>
  <si>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</si>
  <si>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</si>
  <si>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</si>
  <si>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</si>
  <si>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</si>
  <si>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</si>
  <si>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</si>
  <si>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</si>
  <si>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</si>
  <si>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</si>
  <si>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</si>
  <si>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</si>
  <si>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</si>
  <si>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</si>
  <si>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</si>
  <si>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</si>
  <si>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</si>
  <si>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</si>
  <si>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</si>
  <si>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</si>
  <si>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</si>
  <si>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</si>
  <si>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</si>
  <si>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</si>
  <si>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</si>
  <si>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</si>
  <si>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</si>
  <si>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</si>
  <si>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</si>
  <si>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</si>
  <si>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</si>
  <si>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</si>
  <si>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</si>
  <si>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</si>
  <si>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</si>
  <si>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</si>
  <si>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</si>
  <si>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</si>
  <si>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</si>
  <si>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</si>
  <si>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</si>
  <si>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</si>
  <si>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</si>
  <si>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</si>
  <si>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</si>
  <si>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</si>
  <si>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</si>
  <si>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</si>
  <si>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</si>
  <si>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</si>
  <si>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</si>
  <si>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</si>
  <si>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</si>
  <si>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</si>
  <si>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</si>
  <si>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</si>
  <si>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</si>
  <si>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</si>
  <si>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</si>
  <si>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</si>
  <si>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</si>
  <si>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</si>
  <si>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</si>
  <si>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</si>
  <si>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</si>
  <si>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</si>
  <si>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</si>
  <si>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</si>
  <si>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</si>
  <si>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</si>
  <si>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</si>
  <si>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</si>
  <si>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</si>
  <si>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</si>
  <si>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</si>
  <si>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</si>
  <si>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</si>
  <si>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</si>
  <si>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</si>
  <si>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</si>
  <si>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</si>
  <si>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</si>
  <si>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</si>
  <si>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</si>
  <si>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</si>
  <si>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</si>
  <si>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</si>
  <si>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</si>
  <si>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</si>
  <si>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</si>
  <si>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</si>
  <si>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</si>
  <si>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</si>
  <si>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</si>
  <si>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</si>
  <si>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</si>
  <si>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</si>
  <si>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</si>
  <si>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</si>
  <si>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</si>
  <si>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</si>
  <si>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</si>
  <si>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</si>
  <si>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</si>
  <si>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</si>
  <si>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</si>
  <si>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</si>
  <si>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</si>
  <si>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</si>
  <si>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</si>
  <si>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</si>
  <si>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</si>
  <si>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</si>
  <si>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</si>
  <si>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</si>
  <si>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</si>
  <si>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</si>
  <si>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</si>
  <si>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</si>
  <si>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</si>
  <si>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</si>
  <si>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</si>
  <si>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</si>
  <si>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</si>
  <si>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</si>
  <si>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</si>
  <si>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</si>
  <si>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</si>
  <si>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</si>
  <si>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</si>
  <si>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</si>
  <si>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</si>
  <si>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</si>
  <si>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</si>
  <si>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</si>
  <si>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</si>
  <si>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</si>
  <si>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</si>
  <si>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</si>
  <si>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</si>
  <si>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</si>
  <si>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</si>
  <si>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</si>
  <si>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</si>
  <si>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</si>
  <si>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</si>
  <si>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</si>
  <si>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</si>
  <si>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</si>
  <si>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</si>
  <si>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</si>
  <si>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</si>
  <si>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</si>
  <si>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</si>
  <si>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</si>
  <si>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</si>
  <si>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</si>
  <si>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</si>
  <si>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</si>
  <si>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</si>
  <si>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</si>
  <si>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</si>
  <si>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</si>
  <si>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</si>
  <si>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</si>
  <si>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</si>
  <si>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</si>
  <si>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</si>
  <si>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</si>
  <si>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</si>
  <si>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</si>
  <si>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</si>
  <si>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</si>
  <si>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</si>
  <si>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</si>
  <si>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</si>
  <si>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</si>
  <si>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</si>
  <si>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</si>
  <si>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</si>
  <si>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</si>
  <si>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</si>
  <si>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</si>
  <si>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</si>
  <si>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</si>
  <si>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</si>
  <si>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</si>
  <si>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</si>
  <si>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</si>
  <si>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</si>
  <si>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</si>
  <si>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</si>
  <si>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</si>
  <si>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</si>
  <si>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</si>
  <si>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</si>
  <si>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</si>
  <si>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</si>
  <si>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</si>
  <si>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</si>
  <si>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</si>
  <si>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</si>
  <si>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</si>
  <si>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</si>
  <si>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</si>
  <si>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</si>
  <si>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</si>
  <si>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</si>
  <si>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</si>
  <si>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</si>
  <si>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</si>
  <si>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</si>
  <si>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</si>
  <si>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</si>
  <si>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</si>
  <si>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</si>
  <si>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</si>
  <si>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</si>
  <si>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</si>
  <si>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</si>
  <si>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</si>
  <si>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</si>
  <si>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</si>
  <si>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</si>
  <si>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</si>
  <si>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</si>
  <si>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</si>
  <si>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</si>
  <si>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</si>
  <si>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</si>
  <si>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</si>
  <si>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</si>
  <si>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</si>
  <si>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</si>
  <si>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</si>
  <si>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</si>
  <si>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</si>
  <si>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</si>
  <si>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</si>
  <si>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</si>
  <si>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</si>
  <si>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</si>
  <si>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</si>
  <si>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</si>
  <si>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</si>
  <si>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</si>
  <si>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</si>
  <si>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</si>
  <si>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</si>
  <si>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</si>
  <si>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</si>
  <si>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</si>
  <si>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</si>
  <si>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</si>
  <si>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</si>
  <si>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</si>
  <si>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</si>
  <si>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</si>
  <si>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</si>
  <si>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</si>
  <si>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</si>
  <si>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</si>
  <si>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</si>
  <si>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</si>
  <si>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</si>
  <si>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</si>
  <si>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</si>
  <si>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</si>
  <si>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</si>
  <si>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</si>
  <si>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</si>
  <si>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</si>
  <si>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</si>
  <si>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</si>
  <si>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</si>
  <si>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</si>
  <si>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</si>
  <si>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</si>
  <si>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</si>
  <si>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</si>
  <si>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</si>
  <si>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</si>
  <si>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</si>
  <si>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</si>
  <si>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</si>
  <si>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</si>
  <si>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</si>
  <si>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</si>
  <si>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</si>
  <si>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</si>
  <si>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</si>
  <si>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</si>
  <si>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</si>
  <si>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</si>
  <si>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</si>
  <si>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</si>
  <si>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</si>
  <si>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</si>
  <si>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</si>
  <si>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</si>
  <si>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</si>
  <si>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</si>
  <si>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</si>
  <si>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</si>
  <si>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</si>
  <si>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</si>
  <si>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</si>
  <si>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</si>
  <si>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</si>
  <si>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</si>
  <si>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</si>
  <si>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</si>
  <si>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</si>
  <si>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</si>
  <si>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</si>
  <si>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</si>
  <si>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</si>
  <si>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</si>
  <si>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</si>
  <si>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</si>
  <si>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</si>
  <si>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</si>
  <si>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</si>
  <si>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</si>
  <si>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</si>
  <si>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</si>
  <si>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</si>
  <si>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</si>
  <si>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</si>
  <si>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</si>
  <si>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</si>
  <si>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</si>
  <si>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</si>
  <si>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</si>
  <si>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</si>
  <si>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</si>
  <si>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</si>
  <si>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</si>
  <si>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</si>
  <si>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</si>
  <si>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</si>
  <si>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</si>
  <si>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</si>
  <si>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</si>
  <si>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</si>
  <si>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</si>
  <si>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</si>
  <si>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</si>
  <si>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</si>
  <si>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</si>
  <si>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</si>
  <si>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</si>
  <si>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</si>
  <si>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</si>
  <si>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</si>
  <si>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</si>
  <si>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</si>
  <si>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7/96</t>
  </si>
  <si>
    <t>8/02</t>
  </si>
  <si>
    <t>8/04</t>
  </si>
  <si>
    <t>08/06</t>
  </si>
  <si>
    <t>8/11</t>
  </si>
  <si>
    <t>8/12</t>
  </si>
  <si>
    <t>8/14</t>
  </si>
  <si>
    <t>08/26</t>
  </si>
  <si>
    <t>Kearsarge Reg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</si>
</sst>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.0500000000000007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40" fontId="1" fillId="0" borderId="0" xfId="0" applyNumberFormat="1" applyFont="1" applyBorder="1" applyProtection="1">
      <protection locked="0"/>
    </xf>
    <xf numFmtId="7" fontId="37" fillId="0" borderId="0" xfId="0" applyNumberFormat="1" applyFont="1" applyAlignment="1" applyProtection="1">
      <alignment horizontal="right" vertical="center"/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6ED3-5F34-4C65-9897-B5B7644FC93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5" t="s">
        <v>902</v>
      </c>
      <c r="B2" s="21">
        <v>276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804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1555435.15</v>
      </c>
      <c r="G9" s="18"/>
      <c r="H9" s="18"/>
      <c r="I9" s="18">
        <f>171936.96</f>
        <v>171936.96</v>
      </c>
      <c r="J9" s="66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1002889.01</v>
      </c>
      <c r="G10" s="18">
        <v>449992.64</v>
      </c>
      <c r="H10" s="18"/>
      <c r="I10" s="18"/>
      <c r="J10" s="66">
        <f>SUM(I432)</f>
        <v>1497730.9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34977.88+455380.61+67544.84</f>
        <v>557903.32999999996</v>
      </c>
      <c r="G12" s="18">
        <v>26285.64</v>
      </c>
      <c r="H12" s="18">
        <f>2737.44+6.83+72907.06</f>
        <v>75651.33</v>
      </c>
      <c r="I12" s="18"/>
      <c r="J12" s="66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407379.25</v>
      </c>
      <c r="G13" s="18">
        <v>18223.669999999998</v>
      </c>
      <c r="H13" s="18">
        <f>150989.49+126086.36</f>
        <v>277075.84999999998</v>
      </c>
      <c r="I13" s="18"/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591.77+394.94+92.36+36742.94</f>
        <v>37822.01</v>
      </c>
      <c r="G14" s="18"/>
      <c r="H14" s="18"/>
      <c r="I14" s="18"/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76754.7</v>
      </c>
      <c r="G16" s="18">
        <v>7650.37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4"/>
      <c r="I18" s="18"/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3638183.45</v>
      </c>
      <c r="G19" s="41">
        <f>SUM(G9:G18)</f>
        <v>502152.32</v>
      </c>
      <c r="H19" s="41">
        <f>SUM(H9:H18)</f>
        <v>352727.18</v>
      </c>
      <c r="I19" s="41">
        <f>SUM(I9:I18)</f>
        <v>171936.96</v>
      </c>
      <c r="J19" s="41">
        <f>SUM(J9:J18)</f>
        <v>1497730.9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8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72907.06</v>
      </c>
      <c r="G23" s="18">
        <f>455380.61+2737.44</f>
        <v>458118.05</v>
      </c>
      <c r="H23" s="18">
        <f>34977.88+6.83+26285.64</f>
        <v>61270.35</v>
      </c>
      <c r="I23" s="18">
        <v>67544.84</v>
      </c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320373.67</v>
      </c>
      <c r="G25" s="18">
        <v>15905.09</v>
      </c>
      <c r="H25" s="18">
        <f>72148.69+1187.94</f>
        <v>73336.63</v>
      </c>
      <c r="I25" s="18"/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4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1201044.76+69647.18</f>
        <v>1270691.94</v>
      </c>
      <c r="G29" s="18">
        <v>5345.15</v>
      </c>
      <c r="H29" s="18">
        <f>37326.24</f>
        <v>37326.239999999998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2133.62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15133.66</v>
      </c>
      <c r="H31" s="18">
        <f>9280.95+171513.01</f>
        <v>180793.96000000002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1666106.29</v>
      </c>
      <c r="G33" s="41">
        <f>SUM(G23:G32)</f>
        <v>494501.95</v>
      </c>
      <c r="H33" s="41">
        <f>SUM(H23:H32)</f>
        <v>352727.18000000005</v>
      </c>
      <c r="I33" s="41">
        <f>SUM(I23:I32)</f>
        <v>67544.84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76754.7</v>
      </c>
      <c r="G35" s="18">
        <v>7650.37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229698.17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f>103941.09+451.03</f>
        <v>104392.12</v>
      </c>
      <c r="J41" s="13">
        <f>SUM(I449)</f>
        <v>1497730.9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f>833143.95+782480.34</f>
        <v>1615624.29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1972077.1600000001</v>
      </c>
      <c r="G43" s="41">
        <f>SUM(G35:G42)</f>
        <v>7650.37</v>
      </c>
      <c r="H43" s="41">
        <f>SUM(H35:H42)</f>
        <v>0</v>
      </c>
      <c r="I43" s="41">
        <f>SUM(I35:I42)</f>
        <v>104392.12</v>
      </c>
      <c r="J43" s="41">
        <f>SUM(J35:J42)</f>
        <v>1497730.9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3638183.45</v>
      </c>
      <c r="G44" s="41">
        <f>G43+G33</f>
        <v>502152.32</v>
      </c>
      <c r="H44" s="41">
        <f>H43+H33</f>
        <v>352727.18000000005</v>
      </c>
      <c r="I44" s="41">
        <f>I43+I33</f>
        <v>171936.96</v>
      </c>
      <c r="J44" s="41">
        <f>J43+J33</f>
        <v>1497730.9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21196396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21196396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37838.6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24764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46383.59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45611.82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14015.55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168613.56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9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8448.65</v>
      </c>
      <c r="G88" s="18">
        <v>1013.25</v>
      </c>
      <c r="H88" s="18"/>
      <c r="I88" s="18">
        <v>451.03</v>
      </c>
      <c r="J88" s="18">
        <v>18046.93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463221.54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16240.3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16494.22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61512.28</v>
      </c>
      <c r="G102" s="18">
        <v>72567.48</v>
      </c>
      <c r="H102" s="18">
        <v>123267.13</v>
      </c>
      <c r="I102" s="18"/>
      <c r="J102" s="18">
        <v>14435.09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102695.45</v>
      </c>
      <c r="G103" s="41">
        <f>SUM(G88:G102)</f>
        <v>536802.27</v>
      </c>
      <c r="H103" s="41">
        <f>SUM(H88:H102)</f>
        <v>123267.13</v>
      </c>
      <c r="I103" s="41">
        <f>SUM(I88:I102)</f>
        <v>451.03</v>
      </c>
      <c r="J103" s="41">
        <f>SUM(J88:J102)</f>
        <v>32482.02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21467705.009999998</v>
      </c>
      <c r="G104" s="41">
        <f>G52+G103</f>
        <v>536802.27</v>
      </c>
      <c r="H104" s="41">
        <f>H52+H71+H86+H103</f>
        <v>123267.13</v>
      </c>
      <c r="I104" s="41">
        <f>I52+I103</f>
        <v>451.03</v>
      </c>
      <c r="J104" s="41">
        <f>J52+J103</f>
        <v>32482.02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2868172-795296.95</f>
        <v>2072875.05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6937596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f>795296.95</f>
        <v>795296.95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9805768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1577946.65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593380.11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90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f>121590-90</f>
        <v>121500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10740.05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2292916.7599999998</v>
      </c>
      <c r="G128" s="41">
        <f>SUM(G115:G127)</f>
        <v>10740.05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12098684.76</v>
      </c>
      <c r="G132" s="41">
        <f>G113+SUM(G128:G129)</f>
        <v>10740.05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240595.5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140978.23000000001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51013.14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151879.5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557981.59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167316.14000000001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167316.14000000001</v>
      </c>
      <c r="G154" s="41">
        <f>SUM(G142:G153)</f>
        <v>151879.5</v>
      </c>
      <c r="H154" s="41">
        <f>SUM(H142:H153)</f>
        <v>990568.46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167316.14000000001</v>
      </c>
      <c r="G161" s="41">
        <f>G139+G154+SUM(G155:G160)</f>
        <v>151879.5</v>
      </c>
      <c r="H161" s="41">
        <f>H139+H154+SUM(H155:H160)</f>
        <v>990568.46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82287.839999999997</v>
      </c>
      <c r="H171" s="18"/>
      <c r="I171" s="18"/>
      <c r="J171" s="18">
        <v>125000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111152.03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111152.03</v>
      </c>
      <c r="G175" s="41">
        <f>SUM(G171:G174)</f>
        <v>82287.839999999997</v>
      </c>
      <c r="H175" s="41">
        <f>SUM(H171:H174)</f>
        <v>0</v>
      </c>
      <c r="I175" s="41">
        <f>SUM(I171:I174)</f>
        <v>0</v>
      </c>
      <c r="J175" s="41">
        <f>SUM(J171:J174)</f>
        <v>125000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5" t="s">
        <v>454</v>
      </c>
      <c r="E184" s="51">
        <v>5000</v>
      </c>
      <c r="F184" s="41">
        <f>F169+F175+SUM(F180:F183)</f>
        <v>111152.03</v>
      </c>
      <c r="G184" s="41">
        <f>G175+SUM(G180:G183)</f>
        <v>82287.839999999997</v>
      </c>
      <c r="H184" s="41">
        <f>+H175+SUM(H180:H183)</f>
        <v>0</v>
      </c>
      <c r="I184" s="41">
        <f>I169+I175+SUM(I180:I183)</f>
        <v>0</v>
      </c>
      <c r="J184" s="41">
        <f>J175</f>
        <v>125000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6" t="s">
        <v>454</v>
      </c>
      <c r="E185" s="44"/>
      <c r="F185" s="47">
        <f>F104+F132+F161+F184</f>
        <v>33844857.939999998</v>
      </c>
      <c r="G185" s="47">
        <f>G104+G132+G161+G184</f>
        <v>781709.66</v>
      </c>
      <c r="H185" s="47">
        <f>H104+H132+H161+H184</f>
        <v>1113835.5899999999</v>
      </c>
      <c r="I185" s="47">
        <f>I104+I132+I161+I184</f>
        <v>451.03</v>
      </c>
      <c r="J185" s="47">
        <f>J104+J132+J184</f>
        <v>157482.01999999999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3069882.1</v>
      </c>
      <c r="G189" s="18">
        <v>1327385.03</v>
      </c>
      <c r="H189" s="18">
        <v>141008.75</v>
      </c>
      <c r="I189" s="18">
        <v>222902.17</v>
      </c>
      <c r="J189" s="18">
        <v>53570.92</v>
      </c>
      <c r="K189" s="18"/>
      <c r="L189" s="19">
        <f>SUM(F189:K189)</f>
        <v>4814748.97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1700359.2</v>
      </c>
      <c r="G190" s="18">
        <v>491449.59999999998</v>
      </c>
      <c r="H190" s="18">
        <v>263381.57</v>
      </c>
      <c r="I190" s="18">
        <v>31546.17</v>
      </c>
      <c r="J190" s="18">
        <v>559.35</v>
      </c>
      <c r="K190" s="18"/>
      <c r="L190" s="19">
        <f>SUM(F190:K190)</f>
        <v>2487295.8899999997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>
        <v>244.95</v>
      </c>
      <c r="J192" s="18"/>
      <c r="K192" s="18"/>
      <c r="L192" s="19">
        <f>SUM(F192:K192)</f>
        <v>244.95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417420.28</v>
      </c>
      <c r="G194" s="18">
        <v>113451.79</v>
      </c>
      <c r="H194" s="18">
        <v>485.15</v>
      </c>
      <c r="I194" s="18">
        <v>3315.32</v>
      </c>
      <c r="J194" s="18"/>
      <c r="K194" s="18"/>
      <c r="L194" s="19">
        <f t="shared" ref="L194:L200" si="0">SUM(F194:K194)</f>
        <v>534672.54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165351.5</v>
      </c>
      <c r="G195" s="18">
        <v>71775.990000000005</v>
      </c>
      <c r="H195" s="18">
        <v>29436.71</v>
      </c>
      <c r="I195" s="18">
        <v>16041.01</v>
      </c>
      <c r="J195" s="18">
        <v>1146.73</v>
      </c>
      <c r="K195" s="18"/>
      <c r="L195" s="19">
        <f t="shared" si="0"/>
        <v>283751.94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499541.28</v>
      </c>
      <c r="G196" s="18">
        <v>121801.79</v>
      </c>
      <c r="H196" s="18">
        <f>139285.62-22000</f>
        <v>117285.62</v>
      </c>
      <c r="I196" s="18">
        <v>9919.31</v>
      </c>
      <c r="J196" s="18">
        <v>37881.379999999997</v>
      </c>
      <c r="K196" s="18">
        <v>7734.87</v>
      </c>
      <c r="L196" s="19">
        <f t="shared" si="0"/>
        <v>794164.25000000012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499499.66</v>
      </c>
      <c r="G197" s="18">
        <v>214245.4</v>
      </c>
      <c r="H197" s="18">
        <v>33360.49</v>
      </c>
      <c r="I197" s="18">
        <v>2653.22</v>
      </c>
      <c r="J197" s="18">
        <v>154</v>
      </c>
      <c r="K197" s="18">
        <v>3589.94</v>
      </c>
      <c r="L197" s="19">
        <f t="shared" si="0"/>
        <v>753502.70999999985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281756.88</v>
      </c>
      <c r="G199" s="18">
        <v>150054.56</v>
      </c>
      <c r="H199" s="18">
        <v>640964.56999999995</v>
      </c>
      <c r="I199" s="18">
        <v>272892.17</v>
      </c>
      <c r="J199" s="18">
        <v>13884.15</v>
      </c>
      <c r="K199" s="18">
        <v>517</v>
      </c>
      <c r="L199" s="19">
        <f t="shared" si="0"/>
        <v>1360069.3299999998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929481.61</v>
      </c>
      <c r="I200" s="18">
        <v>88976.79</v>
      </c>
      <c r="J200" s="18"/>
      <c r="K200" s="18"/>
      <c r="L200" s="19">
        <f t="shared" si="0"/>
        <v>1018458.4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6633810.9000000004</v>
      </c>
      <c r="G203" s="41">
        <f t="shared" si="1"/>
        <v>2490164.1599999997</v>
      </c>
      <c r="H203" s="41">
        <f t="shared" si="1"/>
        <v>2155404.4699999997</v>
      </c>
      <c r="I203" s="41">
        <f t="shared" si="1"/>
        <v>648491.1100000001</v>
      </c>
      <c r="J203" s="41">
        <f t="shared" si="1"/>
        <v>107196.53</v>
      </c>
      <c r="K203" s="41">
        <f t="shared" si="1"/>
        <v>11841.81</v>
      </c>
      <c r="L203" s="41">
        <f t="shared" si="1"/>
        <v>12046908.98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3071514.08</v>
      </c>
      <c r="G207" s="18">
        <f>880701.34-2185</f>
        <v>878516.34</v>
      </c>
      <c r="H207" s="18">
        <f>74201.12+2185</f>
        <v>76386.12</v>
      </c>
      <c r="I207" s="18">
        <v>80902.75</v>
      </c>
      <c r="J207" s="18">
        <v>31992.13</v>
      </c>
      <c r="K207" s="18">
        <v>200</v>
      </c>
      <c r="L207" s="19">
        <f>SUM(F207:K207)</f>
        <v>4139511.42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877645.51</v>
      </c>
      <c r="G208" s="18">
        <v>208978.46</v>
      </c>
      <c r="H208" s="18">
        <v>373996.28</v>
      </c>
      <c r="I208" s="18">
        <v>7718.23</v>
      </c>
      <c r="J208" s="18"/>
      <c r="K208" s="18">
        <v>585</v>
      </c>
      <c r="L208" s="19">
        <f>SUM(F208:K208)</f>
        <v>1468923.48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89316</v>
      </c>
      <c r="G210" s="18">
        <v>16883.57</v>
      </c>
      <c r="H210" s="18">
        <v>1495</v>
      </c>
      <c r="I210" s="18">
        <v>1902.79</v>
      </c>
      <c r="J210" s="18">
        <v>4658.8999999999996</v>
      </c>
      <c r="K210" s="18">
        <v>1177</v>
      </c>
      <c r="L210" s="19">
        <f>SUM(F210:K210)</f>
        <v>115433.26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252468.86</v>
      </c>
      <c r="G212" s="18">
        <v>67586.91</v>
      </c>
      <c r="H212" s="18">
        <v>2310.73</v>
      </c>
      <c r="I212" s="18">
        <v>3113.34</v>
      </c>
      <c r="J212" s="18"/>
      <c r="K212" s="18"/>
      <c r="L212" s="19">
        <f t="shared" ref="L212:L218" si="2">SUM(F212:K212)</f>
        <v>325479.84000000003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70308</v>
      </c>
      <c r="G213" s="18">
        <v>22598.85</v>
      </c>
      <c r="H213" s="18">
        <v>17237.78</v>
      </c>
      <c r="I213" s="18">
        <v>9341.1200000000008</v>
      </c>
      <c r="J213" s="18"/>
      <c r="K213" s="18"/>
      <c r="L213" s="19">
        <f t="shared" si="2"/>
        <v>119485.75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272477.06</v>
      </c>
      <c r="G214" s="18">
        <v>66437.33</v>
      </c>
      <c r="H214" s="18">
        <f>75973.98-12000</f>
        <v>63973.979999999996</v>
      </c>
      <c r="I214" s="18">
        <v>5410.54</v>
      </c>
      <c r="J214" s="18">
        <v>20662.560000000001</v>
      </c>
      <c r="K214" s="18">
        <v>4219.03</v>
      </c>
      <c r="L214" s="19">
        <f t="shared" si="2"/>
        <v>433180.5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257281.79</v>
      </c>
      <c r="G215" s="18">
        <v>117246.05</v>
      </c>
      <c r="H215" s="18">
        <v>27834.44</v>
      </c>
      <c r="I215" s="18"/>
      <c r="J215" s="18"/>
      <c r="K215" s="18">
        <v>3225</v>
      </c>
      <c r="L215" s="19">
        <f t="shared" si="2"/>
        <v>405587.28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212758.33</v>
      </c>
      <c r="G217" s="18">
        <v>96488.68</v>
      </c>
      <c r="H217" s="18">
        <v>131320.35999999999</v>
      </c>
      <c r="I217" s="18">
        <v>219270.37</v>
      </c>
      <c r="J217" s="18">
        <v>16741.22</v>
      </c>
      <c r="K217" s="18">
        <v>282</v>
      </c>
      <c r="L217" s="19">
        <f t="shared" si="2"/>
        <v>676860.96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450135.45</v>
      </c>
      <c r="I218" s="18">
        <v>48532.79</v>
      </c>
      <c r="J218" s="18"/>
      <c r="K218" s="18"/>
      <c r="L218" s="19">
        <f t="shared" si="2"/>
        <v>498668.24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5103769.63</v>
      </c>
      <c r="G221" s="41">
        <f>SUM(G207:G220)</f>
        <v>1474736.1900000002</v>
      </c>
      <c r="H221" s="41">
        <f>SUM(H207:H220)</f>
        <v>1144690.1399999999</v>
      </c>
      <c r="I221" s="41">
        <f>SUM(I207:I220)</f>
        <v>376191.92999999993</v>
      </c>
      <c r="J221" s="41">
        <f>SUM(J207:J220)</f>
        <v>74054.81</v>
      </c>
      <c r="K221" s="41">
        <f t="shared" si="3"/>
        <v>9688.0299999999988</v>
      </c>
      <c r="L221" s="41">
        <f t="shared" si="3"/>
        <v>8183130.7300000004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2704854.18</v>
      </c>
      <c r="G225" s="18">
        <v>1112359.52</v>
      </c>
      <c r="H225" s="18">
        <v>97470.92</v>
      </c>
      <c r="I225" s="18">
        <v>147120.85</v>
      </c>
      <c r="J225" s="18">
        <v>89351.76</v>
      </c>
      <c r="K225" s="18">
        <v>5145</v>
      </c>
      <c r="L225" s="19">
        <f>SUM(F225:K225)</f>
        <v>4156302.23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725844.13</v>
      </c>
      <c r="G226" s="18">
        <v>195909.63</v>
      </c>
      <c r="H226" s="18">
        <v>572571.62</v>
      </c>
      <c r="I226" s="18">
        <v>28811.55</v>
      </c>
      <c r="J226" s="18">
        <v>5081.45</v>
      </c>
      <c r="K226" s="18"/>
      <c r="L226" s="19">
        <f>SUM(F226:K226)</f>
        <v>1528218.38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12458.85</v>
      </c>
      <c r="I227" s="18"/>
      <c r="J227" s="18"/>
      <c r="K227" s="18"/>
      <c r="L227" s="19">
        <f>SUM(F227:K227)</f>
        <v>12458.85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159498.26</v>
      </c>
      <c r="G228" s="18">
        <v>33411.75</v>
      </c>
      <c r="H228" s="18">
        <v>69791</v>
      </c>
      <c r="I228" s="18">
        <v>31645.68</v>
      </c>
      <c r="J228" s="18">
        <v>21759.73</v>
      </c>
      <c r="K228" s="18">
        <v>17300</v>
      </c>
      <c r="L228" s="19">
        <f>SUM(F228:K228)</f>
        <v>333406.42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333529.99</v>
      </c>
      <c r="G230" s="18">
        <v>112470.84</v>
      </c>
      <c r="H230" s="18">
        <v>1658.72</v>
      </c>
      <c r="I230" s="18">
        <v>8439.86</v>
      </c>
      <c r="J230" s="18">
        <v>300.10000000000002</v>
      </c>
      <c r="K230" s="18"/>
      <c r="L230" s="19">
        <f t="shared" ref="L230:L236" si="4">SUM(F230:K230)</f>
        <v>456399.50999999989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142810.31</v>
      </c>
      <c r="G231" s="18">
        <v>44131.22</v>
      </c>
      <c r="H231" s="18">
        <v>21617.200000000001</v>
      </c>
      <c r="I231" s="18">
        <v>28083.35</v>
      </c>
      <c r="J231" s="18">
        <v>7899.8</v>
      </c>
      <c r="K231" s="18"/>
      <c r="L231" s="19">
        <f t="shared" si="4"/>
        <v>244541.88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363302.75</v>
      </c>
      <c r="G232" s="18">
        <v>88583.11</v>
      </c>
      <c r="H232" s="18">
        <f>101298.62-16000</f>
        <v>85298.62</v>
      </c>
      <c r="I232" s="18">
        <v>7214.04</v>
      </c>
      <c r="J232" s="18">
        <v>27550.1</v>
      </c>
      <c r="K232" s="18">
        <v>5625.36</v>
      </c>
      <c r="L232" s="19">
        <f t="shared" si="4"/>
        <v>577573.98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352382.26</v>
      </c>
      <c r="G233" s="18">
        <v>110816.41</v>
      </c>
      <c r="H233" s="18">
        <v>38180.71</v>
      </c>
      <c r="I233" s="18">
        <v>14750.02</v>
      </c>
      <c r="J233" s="18"/>
      <c r="K233" s="18">
        <v>10163.6</v>
      </c>
      <c r="L233" s="19">
        <f t="shared" si="4"/>
        <v>526293.00000000012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221736.12</v>
      </c>
      <c r="G235" s="18">
        <v>106546.55</v>
      </c>
      <c r="H235" s="18">
        <v>385155.45</v>
      </c>
      <c r="I235" s="18">
        <v>250991.73</v>
      </c>
      <c r="J235" s="18">
        <v>5245.65</v>
      </c>
      <c r="K235" s="18">
        <v>376</v>
      </c>
      <c r="L235" s="19">
        <f t="shared" si="4"/>
        <v>970051.5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658472.52</v>
      </c>
      <c r="I236" s="18">
        <v>64710.39</v>
      </c>
      <c r="J236" s="18"/>
      <c r="K236" s="18"/>
      <c r="L236" s="19">
        <f t="shared" si="4"/>
        <v>723182.91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5003958.0000000009</v>
      </c>
      <c r="G239" s="41">
        <f t="shared" si="5"/>
        <v>1804229.03</v>
      </c>
      <c r="H239" s="41">
        <f t="shared" si="5"/>
        <v>1942675.6099999999</v>
      </c>
      <c r="I239" s="41">
        <f t="shared" si="5"/>
        <v>581767.47000000009</v>
      </c>
      <c r="J239" s="41">
        <f t="shared" si="5"/>
        <v>157188.59</v>
      </c>
      <c r="K239" s="41">
        <f t="shared" si="5"/>
        <v>38609.96</v>
      </c>
      <c r="L239" s="41">
        <f t="shared" si="5"/>
        <v>9528428.6599999983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12120.01</v>
      </c>
      <c r="G243" s="18">
        <v>1372.77</v>
      </c>
      <c r="H243" s="18">
        <v>2032.5</v>
      </c>
      <c r="I243" s="18"/>
      <c r="J243" s="18"/>
      <c r="K243" s="18"/>
      <c r="L243" s="19">
        <f t="shared" si="6"/>
        <v>15525.28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12120.01</v>
      </c>
      <c r="G248" s="41">
        <f t="shared" si="7"/>
        <v>1372.77</v>
      </c>
      <c r="H248" s="41">
        <f t="shared" si="7"/>
        <v>2032.5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15525.28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16753658.540000001</v>
      </c>
      <c r="G249" s="41">
        <f t="shared" si="8"/>
        <v>5770502.1499999994</v>
      </c>
      <c r="H249" s="41">
        <f t="shared" si="8"/>
        <v>5244802.7199999988</v>
      </c>
      <c r="I249" s="41">
        <f t="shared" si="8"/>
        <v>1606450.5100000002</v>
      </c>
      <c r="J249" s="41">
        <f t="shared" si="8"/>
        <v>338439.93</v>
      </c>
      <c r="K249" s="41">
        <f t="shared" si="8"/>
        <v>60139.799999999996</v>
      </c>
      <c r="L249" s="41">
        <f t="shared" si="8"/>
        <v>29773993.649999999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2581781.77</v>
      </c>
      <c r="L252" s="19">
        <f>SUM(F252:K252)</f>
        <v>2581781.77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448650.73</v>
      </c>
      <c r="L253" s="19">
        <f>SUM(F253:K253)</f>
        <v>448650.73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82287.839999999997</v>
      </c>
      <c r="L255" s="19">
        <f>SUM(F255:K255)</f>
        <v>82287.839999999997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125000</v>
      </c>
      <c r="L258" s="19">
        <f t="shared" si="9"/>
        <v>125000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3237720.34</v>
      </c>
      <c r="L262" s="41">
        <f t="shared" si="9"/>
        <v>3237720.34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16753658.540000001</v>
      </c>
      <c r="G263" s="42">
        <f t="shared" si="11"/>
        <v>5770502.1499999994</v>
      </c>
      <c r="H263" s="42">
        <f t="shared" si="11"/>
        <v>5244802.7199999988</v>
      </c>
      <c r="I263" s="42">
        <f t="shared" si="11"/>
        <v>1606450.5100000002</v>
      </c>
      <c r="J263" s="42">
        <f t="shared" si="11"/>
        <v>338439.93</v>
      </c>
      <c r="K263" s="42">
        <f t="shared" si="11"/>
        <v>3297860.1399999997</v>
      </c>
      <c r="L263" s="42">
        <f t="shared" si="11"/>
        <v>33011713.989999998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232102.56</v>
      </c>
      <c r="G268" s="18">
        <v>46679.24</v>
      </c>
      <c r="H268" s="18">
        <v>20501.009999999998</v>
      </c>
      <c r="I268" s="18">
        <f>25662.03-1488.74-12969.13</f>
        <v>11204.159999999998</v>
      </c>
      <c r="J268" s="18">
        <v>62966.77</v>
      </c>
      <c r="K268" s="18"/>
      <c r="L268" s="19">
        <f>SUM(F268:K268)</f>
        <v>373453.74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101364</v>
      </c>
      <c r="G269" s="18">
        <v>24451.15</v>
      </c>
      <c r="H269" s="18"/>
      <c r="I269" s="18">
        <f>27576.63+1488.74+12969.13</f>
        <v>42034.5</v>
      </c>
      <c r="J269" s="18">
        <v>98179.54</v>
      </c>
      <c r="K269" s="18">
        <v>5087.47</v>
      </c>
      <c r="L269" s="19">
        <f>SUM(F269:K269)</f>
        <v>271116.65999999997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6930</v>
      </c>
      <c r="G271" s="18">
        <v>541.71</v>
      </c>
      <c r="H271" s="18"/>
      <c r="I271" s="18">
        <v>38.729999999999997</v>
      </c>
      <c r="J271" s="18"/>
      <c r="K271" s="18"/>
      <c r="L271" s="19">
        <f>SUM(F271:K271)</f>
        <v>7510.44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55056.2</v>
      </c>
      <c r="G273" s="18">
        <v>9900.4599999999991</v>
      </c>
      <c r="H273" s="18">
        <v>12534.29</v>
      </c>
      <c r="I273" s="18">
        <v>3093.29</v>
      </c>
      <c r="J273" s="18">
        <v>3303</v>
      </c>
      <c r="K273" s="18"/>
      <c r="L273" s="19">
        <f t="shared" ref="L273:L279" si="12">SUM(F273:K273)</f>
        <v>83887.239999999991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46435.89</v>
      </c>
      <c r="G274" s="18">
        <v>18890.240000000002</v>
      </c>
      <c r="H274" s="18">
        <v>8882.69</v>
      </c>
      <c r="I274" s="18">
        <v>4889.3500000000004</v>
      </c>
      <c r="J274" s="18">
        <v>341.02</v>
      </c>
      <c r="K274" s="18">
        <v>726.15</v>
      </c>
      <c r="L274" s="19">
        <f t="shared" si="12"/>
        <v>80165.340000000011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146.85</v>
      </c>
      <c r="I279" s="18"/>
      <c r="J279" s="18"/>
      <c r="K279" s="18"/>
      <c r="L279" s="19">
        <f t="shared" si="12"/>
        <v>146.85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16113.43</v>
      </c>
      <c r="L280" s="19">
        <f>SUM(F280:K280)</f>
        <v>16113.43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441888.65</v>
      </c>
      <c r="G282" s="42">
        <f t="shared" si="13"/>
        <v>100462.8</v>
      </c>
      <c r="H282" s="42">
        <f t="shared" si="13"/>
        <v>42064.840000000004</v>
      </c>
      <c r="I282" s="42">
        <f t="shared" si="13"/>
        <v>61260.03</v>
      </c>
      <c r="J282" s="42">
        <f t="shared" si="13"/>
        <v>164790.32999999999</v>
      </c>
      <c r="K282" s="42">
        <f t="shared" si="13"/>
        <v>21927.05</v>
      </c>
      <c r="L282" s="41">
        <f t="shared" si="13"/>
        <v>832393.69999999984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19319.91</v>
      </c>
      <c r="G287" s="18">
        <v>8073.91</v>
      </c>
      <c r="H287" s="18">
        <v>1742.61</v>
      </c>
      <c r="I287" s="18">
        <v>2012.19</v>
      </c>
      <c r="J287" s="18">
        <v>34345.51</v>
      </c>
      <c r="K287" s="18"/>
      <c r="L287" s="19">
        <f>SUM(F287:K287)</f>
        <v>65494.130000000005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36212</v>
      </c>
      <c r="G288" s="18">
        <v>11399.58</v>
      </c>
      <c r="H288" s="18"/>
      <c r="I288" s="18"/>
      <c r="J288" s="18">
        <v>5187.84</v>
      </c>
      <c r="K288" s="18"/>
      <c r="L288" s="19">
        <f>SUM(F288:K288)</f>
        <v>52799.42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25770.99</v>
      </c>
      <c r="G292" s="18">
        <v>4634.26</v>
      </c>
      <c r="H292" s="18">
        <v>6117.03</v>
      </c>
      <c r="I292" s="18">
        <v>43.15</v>
      </c>
      <c r="J292" s="18">
        <v>3303</v>
      </c>
      <c r="K292" s="18"/>
      <c r="L292" s="19">
        <f t="shared" ref="L292:L298" si="14">SUM(F292:K292)</f>
        <v>39868.43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13403.28</v>
      </c>
      <c r="G293" s="18">
        <v>5729.27</v>
      </c>
      <c r="H293" s="18">
        <v>3528.7</v>
      </c>
      <c r="I293" s="18">
        <v>442.8</v>
      </c>
      <c r="J293" s="18">
        <v>186.01</v>
      </c>
      <c r="K293" s="18">
        <v>339.9</v>
      </c>
      <c r="L293" s="19">
        <f t="shared" si="14"/>
        <v>23629.960000000003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80.11</v>
      </c>
      <c r="I298" s="18"/>
      <c r="J298" s="18"/>
      <c r="K298" s="18"/>
      <c r="L298" s="19">
        <f t="shared" si="14"/>
        <v>80.11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>
        <v>2542.15</v>
      </c>
      <c r="L299" s="19">
        <f>SUM(F299:K299)</f>
        <v>2542.15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94706.180000000008</v>
      </c>
      <c r="G301" s="42">
        <f t="shared" si="15"/>
        <v>29837.02</v>
      </c>
      <c r="H301" s="42">
        <f t="shared" si="15"/>
        <v>11468.45</v>
      </c>
      <c r="I301" s="42">
        <f t="shared" si="15"/>
        <v>2498.1400000000003</v>
      </c>
      <c r="J301" s="42">
        <f t="shared" si="15"/>
        <v>43022.360000000008</v>
      </c>
      <c r="K301" s="42">
        <f t="shared" si="15"/>
        <v>2882.05</v>
      </c>
      <c r="L301" s="41">
        <f t="shared" si="15"/>
        <v>184414.19999999998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96</v>
      </c>
      <c r="G306" s="18">
        <v>14.53</v>
      </c>
      <c r="H306" s="18">
        <v>2323.48</v>
      </c>
      <c r="I306" s="18">
        <v>2682.94</v>
      </c>
      <c r="J306" s="18">
        <v>45794.01</v>
      </c>
      <c r="K306" s="18"/>
      <c r="L306" s="19">
        <f>SUM(F306:K306)</f>
        <v>50910.960000000006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51026</v>
      </c>
      <c r="G307" s="18">
        <v>15598.3</v>
      </c>
      <c r="H307" s="18"/>
      <c r="I307" s="18"/>
      <c r="J307" s="18">
        <v>6917.12</v>
      </c>
      <c r="K307" s="18"/>
      <c r="L307" s="19">
        <f>SUM(F307:K307)</f>
        <v>73541.42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36313.660000000003</v>
      </c>
      <c r="G311" s="18">
        <v>6530.08</v>
      </c>
      <c r="H311" s="18">
        <v>7957.39</v>
      </c>
      <c r="I311" s="18"/>
      <c r="J311" s="18"/>
      <c r="K311" s="18"/>
      <c r="L311" s="19">
        <f t="shared" ref="L311:L317" si="16">SUM(F311:K311)</f>
        <v>50801.130000000005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60551.040000000001</v>
      </c>
      <c r="G312" s="18">
        <v>12610.85</v>
      </c>
      <c r="H312" s="18">
        <v>7395.27</v>
      </c>
      <c r="I312" s="18">
        <v>2118.33</v>
      </c>
      <c r="J312" s="18">
        <v>248.02</v>
      </c>
      <c r="K312" s="18">
        <v>478.95</v>
      </c>
      <c r="L312" s="19">
        <f t="shared" si="16"/>
        <v>83402.460000000006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549.41999999999996</v>
      </c>
      <c r="I317" s="18"/>
      <c r="J317" s="18"/>
      <c r="K317" s="18"/>
      <c r="L317" s="19">
        <f t="shared" si="16"/>
        <v>549.41999999999996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>
        <v>241985.76</v>
      </c>
      <c r="I318" s="18"/>
      <c r="J318" s="18"/>
      <c r="K318" s="18">
        <v>115642.42</v>
      </c>
      <c r="L318" s="19">
        <f>SUM(F318:K318)</f>
        <v>357628.18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147986.70000000001</v>
      </c>
      <c r="G320" s="42">
        <f t="shared" si="17"/>
        <v>34753.760000000002</v>
      </c>
      <c r="H320" s="42">
        <f t="shared" si="17"/>
        <v>260211.32</v>
      </c>
      <c r="I320" s="42">
        <f t="shared" si="17"/>
        <v>4801.2700000000004</v>
      </c>
      <c r="J320" s="42">
        <f t="shared" si="17"/>
        <v>52959.15</v>
      </c>
      <c r="K320" s="42">
        <f t="shared" si="17"/>
        <v>116121.37</v>
      </c>
      <c r="L320" s="41">
        <f t="shared" si="17"/>
        <v>616833.57000000007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684581.53</v>
      </c>
      <c r="G330" s="41">
        <f t="shared" si="20"/>
        <v>165053.58000000002</v>
      </c>
      <c r="H330" s="41">
        <f t="shared" si="20"/>
        <v>313744.61</v>
      </c>
      <c r="I330" s="41">
        <f t="shared" si="20"/>
        <v>68559.44</v>
      </c>
      <c r="J330" s="41">
        <f t="shared" si="20"/>
        <v>260771.84</v>
      </c>
      <c r="K330" s="41">
        <f t="shared" si="20"/>
        <v>140930.47</v>
      </c>
      <c r="L330" s="41">
        <f t="shared" si="20"/>
        <v>1633641.4699999997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684581.53</v>
      </c>
      <c r="G344" s="41">
        <f>G330</f>
        <v>165053.58000000002</v>
      </c>
      <c r="H344" s="41">
        <f>H330</f>
        <v>313744.61</v>
      </c>
      <c r="I344" s="41">
        <f>I330</f>
        <v>68559.44</v>
      </c>
      <c r="J344" s="41">
        <f>J330</f>
        <v>260771.84</v>
      </c>
      <c r="K344" s="47">
        <f>K330+K343</f>
        <v>140930.47</v>
      </c>
      <c r="L344" s="41">
        <f>L330+L343</f>
        <v>1633641.4699999997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138641.35999999999</v>
      </c>
      <c r="G350" s="18">
        <v>19493</v>
      </c>
      <c r="H350" s="18">
        <v>9970.75</v>
      </c>
      <c r="I350" s="18">
        <v>125301.43</v>
      </c>
      <c r="J350" s="18">
        <v>12565</v>
      </c>
      <c r="K350" s="18">
        <v>21.7</v>
      </c>
      <c r="L350" s="13">
        <f>SUM(F350:K350)</f>
        <v>305993.24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54588.31</v>
      </c>
      <c r="G351" s="18">
        <v>8235.16</v>
      </c>
      <c r="H351" s="18">
        <v>2156.42</v>
      </c>
      <c r="I351" s="18">
        <v>100552.04</v>
      </c>
      <c r="J351" s="18"/>
      <c r="K351" s="18">
        <v>18.190000000000001</v>
      </c>
      <c r="L351" s="19">
        <f>SUM(F351:K351)</f>
        <v>165550.12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126327.39</v>
      </c>
      <c r="G352" s="18">
        <v>52453.74</v>
      </c>
      <c r="H352" s="18">
        <v>3489.45</v>
      </c>
      <c r="I352" s="18">
        <v>124837.3</v>
      </c>
      <c r="J352" s="18">
        <v>2925.15</v>
      </c>
      <c r="K352" s="18">
        <v>7.15</v>
      </c>
      <c r="L352" s="19">
        <f>SUM(F352:K352)</f>
        <v>310040.18000000005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319557.06</v>
      </c>
      <c r="G354" s="47">
        <f t="shared" si="22"/>
        <v>80181.899999999994</v>
      </c>
      <c r="H354" s="47">
        <f t="shared" si="22"/>
        <v>15616.619999999999</v>
      </c>
      <c r="I354" s="47">
        <f t="shared" si="22"/>
        <v>350690.76999999996</v>
      </c>
      <c r="J354" s="47">
        <f t="shared" si="22"/>
        <v>15490.15</v>
      </c>
      <c r="K354" s="47">
        <f t="shared" si="22"/>
        <v>47.04</v>
      </c>
      <c r="L354" s="47">
        <f t="shared" si="22"/>
        <v>781583.54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272">
        <v>98450.68</v>
      </c>
      <c r="G359" s="272">
        <v>108075.13</v>
      </c>
      <c r="H359" s="272">
        <v>88215.039999999994</v>
      </c>
      <c r="I359" s="56">
        <f>SUM(F359:H359)</f>
        <v>294740.84999999998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272">
        <v>26850.75</v>
      </c>
      <c r="G360" s="272">
        <v>16762.169999999998</v>
      </c>
      <c r="H360" s="272">
        <v>12337</v>
      </c>
      <c r="I360" s="56">
        <f>SUM(F360:H360)</f>
        <v>55949.919999999998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125301.43</v>
      </c>
      <c r="G361" s="47">
        <f>SUM(G359:G360)</f>
        <v>124837.3</v>
      </c>
      <c r="H361" s="47">
        <f>SUM(H359:H360)</f>
        <v>100552.04</v>
      </c>
      <c r="I361" s="47">
        <f>SUM(I359:I360)</f>
        <v>350690.76999999996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0</v>
      </c>
      <c r="G374" s="138">
        <f t="shared" ref="G374:L374" si="24">SUM(G366:G373)</f>
        <v>0</v>
      </c>
      <c r="H374" s="138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9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0</v>
      </c>
      <c r="H385" s="138">
        <f>SUM(H379:H384)</f>
        <v>0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f>18046.93-H389</f>
        <v>7685.6100000000006</v>
      </c>
      <c r="I388" s="18"/>
      <c r="J388" s="24" t="s">
        <v>312</v>
      </c>
      <c r="K388" s="24" t="s">
        <v>312</v>
      </c>
      <c r="L388" s="56">
        <f t="shared" si="26"/>
        <v>57685.61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75000</v>
      </c>
      <c r="H389" s="18">
        <v>10361.32</v>
      </c>
      <c r="I389" s="18"/>
      <c r="J389" s="24" t="s">
        <v>312</v>
      </c>
      <c r="K389" s="24" t="s">
        <v>312</v>
      </c>
      <c r="L389" s="56">
        <f t="shared" si="26"/>
        <v>85361.32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>
        <f>J102</f>
        <v>14435.09</v>
      </c>
      <c r="J392" s="24" t="s">
        <v>312</v>
      </c>
      <c r="K392" s="24" t="s">
        <v>312</v>
      </c>
      <c r="L392" s="56">
        <f t="shared" si="26"/>
        <v>14435.09</v>
      </c>
      <c r="M392" s="8"/>
    </row>
    <row r="393" spans="1:13" s="3" customFormat="1" ht="12" customHeight="1" thickTop="1" x14ac:dyDescent="0.15">
      <c r="A393" s="159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125000</v>
      </c>
      <c r="H393" s="47">
        <f>SUM(H387:H392)</f>
        <v>18046.93</v>
      </c>
      <c r="I393" s="47">
        <f>SUM(I387:I392)</f>
        <v>14435.09</v>
      </c>
      <c r="J393" s="45" t="s">
        <v>312</v>
      </c>
      <c r="K393" s="45" t="s">
        <v>312</v>
      </c>
      <c r="L393" s="47">
        <f>SUM(L387:L392)</f>
        <v>157482.01999999999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9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125000</v>
      </c>
      <c r="H400" s="47">
        <f>H385+H393+H399</f>
        <v>18046.93</v>
      </c>
      <c r="I400" s="47">
        <f>I385+I393+I399</f>
        <v>14435.09</v>
      </c>
      <c r="J400" s="24" t="s">
        <v>312</v>
      </c>
      <c r="K400" s="24" t="s">
        <v>312</v>
      </c>
      <c r="L400" s="47">
        <f>L385+L393+L399</f>
        <v>157482.01999999999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59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0</v>
      </c>
      <c r="J411" s="138">
        <f t="shared" si="28"/>
        <v>0</v>
      </c>
      <c r="K411" s="138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59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7"/>
    </row>
    <row r="425" spans="1:21" ht="12" customHeight="1" thickTop="1" thickBot="1" x14ac:dyDescent="0.25">
      <c r="A425" s="159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1497730.9</v>
      </c>
      <c r="G432" s="18"/>
      <c r="H432" s="18"/>
      <c r="I432" s="56">
        <f t="shared" si="33"/>
        <v>1497730.9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1497730.9</v>
      </c>
      <c r="G438" s="13">
        <f>SUM(G431:G437)</f>
        <v>0</v>
      </c>
      <c r="H438" s="13">
        <f>SUM(H431:H437)</f>
        <v>0</v>
      </c>
      <c r="I438" s="13">
        <f>SUM(I431:I437)</f>
        <v>1497730.9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1497730.9</v>
      </c>
      <c r="G449" s="18"/>
      <c r="H449" s="18"/>
      <c r="I449" s="56">
        <f>SUM(F449:H449)</f>
        <v>1497730.9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1497730.9</v>
      </c>
      <c r="G450" s="82">
        <f>SUM(G446:G449)</f>
        <v>0</v>
      </c>
      <c r="H450" s="82">
        <f>SUM(H446:H449)</f>
        <v>0</v>
      </c>
      <c r="I450" s="82">
        <f>SUM(I446:I449)</f>
        <v>1497730.9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6" t="s">
        <v>456</v>
      </c>
      <c r="E451" s="81"/>
      <c r="F451" s="42">
        <f>F444+F450</f>
        <v>1497730.9</v>
      </c>
      <c r="G451" s="42">
        <f>G444+G450</f>
        <v>0</v>
      </c>
      <c r="H451" s="42">
        <f>H444+H450</f>
        <v>0</v>
      </c>
      <c r="I451" s="42">
        <f>I444+I450</f>
        <v>1497730.9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8" t="s">
        <v>885</v>
      </c>
      <c r="B455" s="104">
        <v>19</v>
      </c>
      <c r="C455" s="110">
        <v>1</v>
      </c>
      <c r="D455" s="2" t="s">
        <v>456</v>
      </c>
      <c r="E455" s="110"/>
      <c r="F455" s="18">
        <v>1138933.21</v>
      </c>
      <c r="G455" s="18">
        <v>7524.25</v>
      </c>
      <c r="H455" s="18">
        <f>378097.34+141708.54</f>
        <v>519805.88</v>
      </c>
      <c r="I455" s="18">
        <v>103941.09</v>
      </c>
      <c r="J455" s="18">
        <f>1359567.91-19319.03</f>
        <v>1340248.8799999999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f>F185</f>
        <v>33844857.939999998</v>
      </c>
      <c r="G458" s="18">
        <f>G185</f>
        <v>781709.66</v>
      </c>
      <c r="H458" s="18">
        <f>H185</f>
        <v>1113835.5899999999</v>
      </c>
      <c r="I458" s="18">
        <f>I185</f>
        <v>451.03</v>
      </c>
      <c r="J458" s="18">
        <f>J185</f>
        <v>157482.01999999999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33844857.939999998</v>
      </c>
      <c r="G460" s="53">
        <f>SUM(G458:G459)</f>
        <v>781709.66</v>
      </c>
      <c r="H460" s="53">
        <f>SUM(H458:H459)</f>
        <v>1113835.5899999999</v>
      </c>
      <c r="I460" s="53">
        <f>SUM(I458:I459)</f>
        <v>451.03</v>
      </c>
      <c r="J460" s="53">
        <f>SUM(J458:J459)</f>
        <v>157482.01999999999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f>L263</f>
        <v>33011713.989999998</v>
      </c>
      <c r="G462" s="18">
        <f>L354</f>
        <v>781583.54</v>
      </c>
      <c r="H462" s="18">
        <f>L344</f>
        <v>1633641.4699999997</v>
      </c>
      <c r="I462" s="18">
        <f>L374</f>
        <v>0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33011713.989999998</v>
      </c>
      <c r="G464" s="53">
        <f>SUM(G462:G463)</f>
        <v>781583.54</v>
      </c>
      <c r="H464" s="53">
        <f>SUM(H462:H463)</f>
        <v>1633641.4699999997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886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1972077.1600000001</v>
      </c>
      <c r="G466" s="53">
        <f>(G455+G460)- G464</f>
        <v>7650.3699999999953</v>
      </c>
      <c r="H466" s="53">
        <f>(H455+H460)- H464</f>
        <v>0</v>
      </c>
      <c r="I466" s="53">
        <f>(I455+I460)- I464</f>
        <v>104392.12</v>
      </c>
      <c r="J466" s="53">
        <f>(J455+J460)- J464</f>
        <v>1497730.9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/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4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3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3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3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90" t="s">
        <v>887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53">
        <v>15</v>
      </c>
      <c r="G480" s="153">
        <v>10</v>
      </c>
      <c r="H480" s="153">
        <v>10</v>
      </c>
      <c r="I480" s="153">
        <v>20</v>
      </c>
      <c r="J480" s="153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270" t="s">
        <v>894</v>
      </c>
      <c r="G481" s="271" t="s">
        <v>895</v>
      </c>
      <c r="H481" s="271" t="s">
        <v>896</v>
      </c>
      <c r="I481" s="154" t="s">
        <v>897</v>
      </c>
      <c r="J481" s="154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271" t="s">
        <v>898</v>
      </c>
      <c r="G482" s="271" t="s">
        <v>899</v>
      </c>
      <c r="H482" s="271" t="s">
        <v>900</v>
      </c>
      <c r="I482" s="154" t="s">
        <v>901</v>
      </c>
      <c r="J482" s="154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8">
        <v>6838167</v>
      </c>
      <c r="G483" s="18">
        <v>667500</v>
      </c>
      <c r="H483" s="18">
        <v>3259044</v>
      </c>
      <c r="I483" s="18">
        <v>24450150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8">
        <v>5.75</v>
      </c>
      <c r="G484" s="18">
        <v>3.8</v>
      </c>
      <c r="H484" s="18">
        <v>3.69</v>
      </c>
      <c r="I484" s="18">
        <v>4.6100000000000003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8">
        <v>1860000</v>
      </c>
      <c r="G485" s="18">
        <v>260000</v>
      </c>
      <c r="H485" s="18">
        <v>1609037.68</v>
      </c>
      <c r="I485" s="18">
        <v>20311539.920000002</v>
      </c>
      <c r="J485" s="18"/>
      <c r="K485" s="53">
        <f>SUM(F485:J485)</f>
        <v>24040577.600000001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8">
        <v>585000</v>
      </c>
      <c r="G487" s="18">
        <v>65000</v>
      </c>
      <c r="H487" s="18">
        <f>269620.45+32668.82</f>
        <v>302289.27</v>
      </c>
      <c r="I487" s="18">
        <v>1629492.5</v>
      </c>
      <c r="J487" s="18"/>
      <c r="K487" s="53">
        <f t="shared" si="34"/>
        <v>2581781.77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f>F485-F487</f>
        <v>1275000</v>
      </c>
      <c r="G488" s="204">
        <f>G485-G487</f>
        <v>195000</v>
      </c>
      <c r="H488" s="204">
        <f>H485-H487</f>
        <v>1306748.4099999999</v>
      </c>
      <c r="I488" s="204">
        <f>I485-I487</f>
        <v>18682047.420000002</v>
      </c>
      <c r="J488" s="204"/>
      <c r="K488" s="205">
        <f t="shared" si="34"/>
        <v>21458795.830000002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18">
        <v>74318.75</v>
      </c>
      <c r="G489" s="18">
        <v>11700</v>
      </c>
      <c r="H489" s="18">
        <v>637001.59</v>
      </c>
      <c r="I489" s="18">
        <v>13470760.109999999</v>
      </c>
      <c r="J489" s="18"/>
      <c r="K489" s="53">
        <f t="shared" si="34"/>
        <v>14193780.449999999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1349318.75</v>
      </c>
      <c r="G490" s="42">
        <f>SUM(G488:G489)</f>
        <v>206700</v>
      </c>
      <c r="H490" s="42">
        <f>SUM(H488:H489)</f>
        <v>1943750</v>
      </c>
      <c r="I490" s="42">
        <f>SUM(I488:I489)</f>
        <v>32152807.530000001</v>
      </c>
      <c r="J490" s="42">
        <f>SUM(J488:J489)</f>
        <v>0</v>
      </c>
      <c r="K490" s="42">
        <f t="shared" si="34"/>
        <v>35652576.280000001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620000</v>
      </c>
      <c r="G491" s="204">
        <v>65000</v>
      </c>
      <c r="H491" s="204">
        <v>287137.46000000002</v>
      </c>
      <c r="I491" s="204">
        <v>1552870.64</v>
      </c>
      <c r="J491" s="204"/>
      <c r="K491" s="205">
        <f t="shared" si="34"/>
        <v>2525008.0999999996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18">
        <v>55487.5</v>
      </c>
      <c r="G492" s="18">
        <v>6500</v>
      </c>
      <c r="H492" s="18">
        <v>101112.54</v>
      </c>
      <c r="I492" s="18">
        <v>337051.86</v>
      </c>
      <c r="J492" s="18"/>
      <c r="K492" s="53">
        <f t="shared" si="34"/>
        <v>500151.89999999997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675487.5</v>
      </c>
      <c r="G493" s="42">
        <f>SUM(G491:G492)</f>
        <v>71500</v>
      </c>
      <c r="H493" s="42">
        <f>SUM(H491:H492)</f>
        <v>388250</v>
      </c>
      <c r="I493" s="42">
        <f>SUM(I491:I492)</f>
        <v>1889922.5</v>
      </c>
      <c r="J493" s="42">
        <f>SUM(J491:J492)</f>
        <v>0</v>
      </c>
      <c r="K493" s="42">
        <f t="shared" si="34"/>
        <v>3025160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/>
      <c r="G497" s="143"/>
      <c r="H497" s="143"/>
      <c r="I497" s="143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6" t="s">
        <v>888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5"/>
    </row>
    <row r="509" spans="1:12" s="52" customFormat="1" ht="12" customHeight="1" x14ac:dyDescent="0.2">
      <c r="A509" s="177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8">
        <f>F190+128741.8</f>
        <v>1829101</v>
      </c>
      <c r="G511" s="18">
        <f>G190+37500.35</f>
        <v>528949.94999999995</v>
      </c>
      <c r="H511" s="18">
        <f>H190+3205.4</f>
        <v>266586.97000000003</v>
      </c>
      <c r="I511" s="18">
        <f>I190+45441.99</f>
        <v>76988.160000000003</v>
      </c>
      <c r="J511" s="18">
        <f>J190+107148.49</f>
        <v>107707.84000000001</v>
      </c>
      <c r="K511" s="18">
        <f>K190+6036.87</f>
        <v>6036.87</v>
      </c>
      <c r="L511" s="87">
        <f>SUM(F511:K511)</f>
        <v>2815370.7900000005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8">
        <f>F208+37378.8</f>
        <v>915024.31</v>
      </c>
      <c r="G512" s="18">
        <f>G208+16515.71</f>
        <v>225494.16999999998</v>
      </c>
      <c r="H512" s="18">
        <f>H208+1748.4</f>
        <v>375744.68000000005</v>
      </c>
      <c r="I512" s="18">
        <f>I208+1030.63</f>
        <v>8748.86</v>
      </c>
      <c r="J512" s="18">
        <f>J208+9075.84</f>
        <v>9075.84</v>
      </c>
      <c r="K512" s="18">
        <f>K208+517.86</f>
        <v>1102.8600000000001</v>
      </c>
      <c r="L512" s="87">
        <f>SUM(F512:K512)</f>
        <v>1535190.7200000004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8">
        <f>F226+178226.4</f>
        <v>904070.53</v>
      </c>
      <c r="G513" s="18">
        <f>G226+40687.69</f>
        <v>236597.32</v>
      </c>
      <c r="H513" s="18">
        <f>H226+2331.2</f>
        <v>574902.81999999995</v>
      </c>
      <c r="I513" s="18">
        <f>I226+6756.18</f>
        <v>35567.729999999996</v>
      </c>
      <c r="J513" s="18">
        <f>J226+18628.12</f>
        <v>23709.57</v>
      </c>
      <c r="K513" s="18">
        <v>690.47</v>
      </c>
      <c r="L513" s="87">
        <f>SUM(F513:K513)</f>
        <v>1775538.44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5">
        <v>4</v>
      </c>
      <c r="D514" s="196" t="s">
        <v>456</v>
      </c>
      <c r="E514" s="195"/>
      <c r="F514" s="107">
        <f>SUM(F511:F513)</f>
        <v>3648195.84</v>
      </c>
      <c r="G514" s="107">
        <f t="shared" ref="G514:L514" si="35">SUM(G511:G513)</f>
        <v>991041.44</v>
      </c>
      <c r="H514" s="107">
        <f t="shared" si="35"/>
        <v>1217234.4700000002</v>
      </c>
      <c r="I514" s="107">
        <f t="shared" si="35"/>
        <v>121304.75</v>
      </c>
      <c r="J514" s="107">
        <f t="shared" si="35"/>
        <v>140493.25</v>
      </c>
      <c r="K514" s="107">
        <f t="shared" si="35"/>
        <v>7830.2</v>
      </c>
      <c r="L514" s="88">
        <f t="shared" si="35"/>
        <v>6126099.9500000011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8">
        <v>101028.77</v>
      </c>
      <c r="G516" s="18">
        <v>28744.23</v>
      </c>
      <c r="H516" s="18">
        <v>16195.21</v>
      </c>
      <c r="I516" s="18">
        <v>8924.17</v>
      </c>
      <c r="J516" s="18">
        <v>3334.42</v>
      </c>
      <c r="K516" s="18">
        <v>339.9</v>
      </c>
      <c r="L516" s="87">
        <f>SUM(F516:K516)</f>
        <v>158566.70000000001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8">
        <v>38093.58</v>
      </c>
      <c r="G517" s="18">
        <v>13215.23</v>
      </c>
      <c r="H517" s="18">
        <v>2415.5100000000002</v>
      </c>
      <c r="I517" s="18">
        <v>1375.34</v>
      </c>
      <c r="J517" s="18">
        <v>182.64</v>
      </c>
      <c r="K517" s="18"/>
      <c r="L517" s="87">
        <f>SUM(F517:K517)</f>
        <v>55282.299999999996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8">
        <v>159603.31</v>
      </c>
      <c r="G518" s="18">
        <v>33800.89</v>
      </c>
      <c r="H518" s="18">
        <v>31016.33</v>
      </c>
      <c r="I518" s="18">
        <v>1928.38</v>
      </c>
      <c r="J518" s="18">
        <v>243.52</v>
      </c>
      <c r="K518" s="18">
        <v>1205.0999999999999</v>
      </c>
      <c r="L518" s="87">
        <f>SUM(F518:K518)</f>
        <v>227797.53000000003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7" t="s">
        <v>456</v>
      </c>
      <c r="E519" s="106"/>
      <c r="F519" s="88">
        <f>SUM(F516:F518)</f>
        <v>298725.66000000003</v>
      </c>
      <c r="G519" s="88">
        <f t="shared" ref="G519:L519" si="36">SUM(G516:G518)</f>
        <v>75760.350000000006</v>
      </c>
      <c r="H519" s="88">
        <f t="shared" si="36"/>
        <v>49627.05</v>
      </c>
      <c r="I519" s="88">
        <f t="shared" si="36"/>
        <v>12227.89</v>
      </c>
      <c r="J519" s="88">
        <f t="shared" si="36"/>
        <v>3760.58</v>
      </c>
      <c r="K519" s="88">
        <f t="shared" si="36"/>
        <v>1545</v>
      </c>
      <c r="L519" s="88">
        <f t="shared" si="36"/>
        <v>441646.53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8">
        <v>52942.12</v>
      </c>
      <c r="G521" s="18">
        <v>20900.66</v>
      </c>
      <c r="H521" s="18"/>
      <c r="I521" s="18"/>
      <c r="J521" s="18"/>
      <c r="K521" s="18"/>
      <c r="L521" s="87">
        <f>SUM(F521:K521)</f>
        <v>73842.78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8">
        <v>28877.52</v>
      </c>
      <c r="G522" s="18">
        <v>11400.36</v>
      </c>
      <c r="H522" s="18"/>
      <c r="I522" s="18"/>
      <c r="J522" s="18"/>
      <c r="K522" s="18"/>
      <c r="L522" s="87">
        <f>SUM(F522:K522)</f>
        <v>40277.880000000005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8">
        <v>38503.360000000001</v>
      </c>
      <c r="G523" s="18">
        <v>15200.47</v>
      </c>
      <c r="H523" s="18"/>
      <c r="I523" s="18"/>
      <c r="J523" s="18"/>
      <c r="K523" s="18"/>
      <c r="L523" s="87">
        <f>SUM(F523:K523)</f>
        <v>53703.83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7" t="s">
        <v>456</v>
      </c>
      <c r="E524" s="106"/>
      <c r="F524" s="88">
        <f>SUM(F521:F523)</f>
        <v>120323</v>
      </c>
      <c r="G524" s="88">
        <f t="shared" ref="G524:L524" si="37">SUM(G521:G523)</f>
        <v>47501.49</v>
      </c>
      <c r="H524" s="88">
        <f t="shared" si="37"/>
        <v>0</v>
      </c>
      <c r="I524" s="88">
        <f t="shared" si="37"/>
        <v>0</v>
      </c>
      <c r="J524" s="88">
        <f t="shared" si="37"/>
        <v>0</v>
      </c>
      <c r="K524" s="88">
        <f t="shared" si="37"/>
        <v>0</v>
      </c>
      <c r="L524" s="88">
        <f t="shared" si="37"/>
        <v>167824.49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/>
      <c r="G526" s="18"/>
      <c r="H526" s="18"/>
      <c r="I526" s="18"/>
      <c r="J526" s="18"/>
      <c r="K526" s="18"/>
      <c r="L526" s="87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/>
      <c r="G527" s="18"/>
      <c r="H527" s="18"/>
      <c r="I527" s="18"/>
      <c r="J527" s="18"/>
      <c r="K527" s="18"/>
      <c r="L527" s="87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/>
      <c r="G528" s="18"/>
      <c r="H528" s="18"/>
      <c r="I528" s="18"/>
      <c r="J528" s="18"/>
      <c r="K528" s="18"/>
      <c r="L528" s="87">
        <f>SUM(F528:K528)</f>
        <v>0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7" t="s">
        <v>456</v>
      </c>
      <c r="E529" s="106"/>
      <c r="F529" s="88">
        <f>SUM(F526:F528)</f>
        <v>0</v>
      </c>
      <c r="G529" s="88">
        <f t="shared" ref="G529:L529" si="38">SUM(G526:G528)</f>
        <v>0</v>
      </c>
      <c r="H529" s="88">
        <f t="shared" si="38"/>
        <v>0</v>
      </c>
      <c r="I529" s="88">
        <f t="shared" si="38"/>
        <v>0</v>
      </c>
      <c r="J529" s="88">
        <f t="shared" si="38"/>
        <v>0</v>
      </c>
      <c r="K529" s="88">
        <f t="shared" si="38"/>
        <v>0</v>
      </c>
      <c r="L529" s="88">
        <f t="shared" si="38"/>
        <v>0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8"/>
      <c r="G531" s="18"/>
      <c r="H531" s="18">
        <f>H582</f>
        <v>154228.91</v>
      </c>
      <c r="I531" s="18"/>
      <c r="J531" s="18"/>
      <c r="K531" s="18"/>
      <c r="L531" s="87">
        <f>SUM(F531:K531)</f>
        <v>154228.91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8"/>
      <c r="G532" s="18"/>
      <c r="H532" s="18">
        <f>I582</f>
        <v>84124.84</v>
      </c>
      <c r="I532" s="18"/>
      <c r="J532" s="18"/>
      <c r="K532" s="18"/>
      <c r="L532" s="87">
        <f>SUM(F532:K532)</f>
        <v>84124.84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8"/>
      <c r="G533" s="18"/>
      <c r="H533" s="18">
        <f>J582</f>
        <v>113166.48</v>
      </c>
      <c r="I533" s="18"/>
      <c r="J533" s="18"/>
      <c r="K533" s="18"/>
      <c r="L533" s="87">
        <f>SUM(F533:K533)</f>
        <v>113166.48</v>
      </c>
      <c r="M533" s="8"/>
    </row>
    <row r="534" spans="1:13" s="3" customFormat="1" ht="12" customHeight="1" thickTop="1" thickBot="1" x14ac:dyDescent="0.2">
      <c r="A534" s="129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351520.23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351520.23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7" t="s">
        <v>456</v>
      </c>
      <c r="E535" s="106"/>
      <c r="F535" s="88">
        <f>F514+F519+F524+F529+F534</f>
        <v>4067244.5</v>
      </c>
      <c r="G535" s="88">
        <f t="shared" ref="G535:L535" si="40">G514+G519+G524+G529+G534</f>
        <v>1114303.28</v>
      </c>
      <c r="H535" s="88">
        <f t="shared" si="40"/>
        <v>1618381.7500000002</v>
      </c>
      <c r="I535" s="88">
        <f t="shared" si="40"/>
        <v>133532.64000000001</v>
      </c>
      <c r="J535" s="88">
        <f t="shared" si="40"/>
        <v>144253.82999999999</v>
      </c>
      <c r="K535" s="88">
        <f t="shared" si="40"/>
        <v>9375.2000000000007</v>
      </c>
      <c r="L535" s="88">
        <f t="shared" si="40"/>
        <v>7087091.2000000011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2815370.7900000005</v>
      </c>
      <c r="G539" s="86">
        <f>L516</f>
        <v>158566.70000000001</v>
      </c>
      <c r="H539" s="86">
        <f>L521</f>
        <v>73842.78</v>
      </c>
      <c r="I539" s="86">
        <f>L526</f>
        <v>0</v>
      </c>
      <c r="J539" s="86">
        <f>L531</f>
        <v>154228.91</v>
      </c>
      <c r="K539" s="86">
        <f>SUM(F539:J539)</f>
        <v>3202009.1800000006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1535190.7200000004</v>
      </c>
      <c r="G540" s="86">
        <f>L517</f>
        <v>55282.299999999996</v>
      </c>
      <c r="H540" s="86">
        <f>L522</f>
        <v>40277.880000000005</v>
      </c>
      <c r="I540" s="86">
        <f>L527</f>
        <v>0</v>
      </c>
      <c r="J540" s="86">
        <f>L532</f>
        <v>84124.84</v>
      </c>
      <c r="K540" s="86">
        <f>SUM(F540:J540)</f>
        <v>1714875.7400000005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1775538.44</v>
      </c>
      <c r="G541" s="86">
        <f>L518</f>
        <v>227797.53000000003</v>
      </c>
      <c r="H541" s="86">
        <f>L523</f>
        <v>53703.83</v>
      </c>
      <c r="I541" s="86">
        <f>L528</f>
        <v>0</v>
      </c>
      <c r="J541" s="86">
        <f>L533</f>
        <v>113166.48</v>
      </c>
      <c r="K541" s="86">
        <f>SUM(F541:J541)</f>
        <v>2170206.2800000003</v>
      </c>
      <c r="L541" s="24" t="s">
        <v>312</v>
      </c>
      <c r="M541" s="8"/>
    </row>
    <row r="542" spans="1:13" s="3" customFormat="1" ht="12" customHeight="1" thickTop="1" x14ac:dyDescent="0.15">
      <c r="A542" s="171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1">SUM(F539:F541)</f>
        <v>6126099.9500000011</v>
      </c>
      <c r="G542" s="88">
        <f t="shared" si="41"/>
        <v>441646.53</v>
      </c>
      <c r="H542" s="88">
        <f t="shared" si="41"/>
        <v>167824.49</v>
      </c>
      <c r="I542" s="88">
        <f t="shared" si="41"/>
        <v>0</v>
      </c>
      <c r="J542" s="88">
        <f t="shared" si="41"/>
        <v>351520.23</v>
      </c>
      <c r="K542" s="88">
        <f t="shared" si="41"/>
        <v>7087091.2000000011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/>
      <c r="G547" s="18"/>
      <c r="H547" s="18"/>
      <c r="I547" s="18"/>
      <c r="J547" s="18"/>
      <c r="K547" s="18"/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/>
      <c r="G548" s="18"/>
      <c r="H548" s="18"/>
      <c r="I548" s="18"/>
      <c r="J548" s="18"/>
      <c r="K548" s="18"/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/>
      <c r="G549" s="18"/>
      <c r="H549" s="18"/>
      <c r="I549" s="18"/>
      <c r="J549" s="18"/>
      <c r="K549" s="18"/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5">
        <v>4</v>
      </c>
      <c r="D550" s="196" t="s">
        <v>456</v>
      </c>
      <c r="E550" s="195"/>
      <c r="F550" s="107">
        <f t="shared" ref="F550:L550" si="42">SUM(F547:F549)</f>
        <v>0</v>
      </c>
      <c r="G550" s="107">
        <f t="shared" si="42"/>
        <v>0</v>
      </c>
      <c r="H550" s="107">
        <f t="shared" si="42"/>
        <v>0</v>
      </c>
      <c r="I550" s="107">
        <f t="shared" si="42"/>
        <v>0</v>
      </c>
      <c r="J550" s="107">
        <f t="shared" si="42"/>
        <v>0</v>
      </c>
      <c r="K550" s="107">
        <f t="shared" si="42"/>
        <v>0</v>
      </c>
      <c r="L550" s="88">
        <f t="shared" si="42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/>
      <c r="G552" s="18"/>
      <c r="H552" s="18"/>
      <c r="I552" s="18"/>
      <c r="J552" s="18"/>
      <c r="K552" s="18"/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/>
      <c r="G553" s="18"/>
      <c r="H553" s="18"/>
      <c r="I553" s="18"/>
      <c r="J553" s="18"/>
      <c r="K553" s="18"/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/>
      <c r="G554" s="18"/>
      <c r="H554" s="18"/>
      <c r="I554" s="18"/>
      <c r="J554" s="18"/>
      <c r="K554" s="18"/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6" t="s">
        <v>456</v>
      </c>
      <c r="E555" s="106"/>
      <c r="F555" s="88">
        <f t="shared" ref="F555:L555" si="43">SUM(F552:F554)</f>
        <v>0</v>
      </c>
      <c r="G555" s="88">
        <f t="shared" si="43"/>
        <v>0</v>
      </c>
      <c r="H555" s="88">
        <f t="shared" si="43"/>
        <v>0</v>
      </c>
      <c r="I555" s="88">
        <f t="shared" si="43"/>
        <v>0</v>
      </c>
      <c r="J555" s="88">
        <f t="shared" si="43"/>
        <v>0</v>
      </c>
      <c r="K555" s="88">
        <f t="shared" si="43"/>
        <v>0</v>
      </c>
      <c r="L555" s="88">
        <f t="shared" si="43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7" t="s">
        <v>456</v>
      </c>
      <c r="E561" s="106"/>
      <c r="F561" s="88">
        <f>F550+F555+F560</f>
        <v>0</v>
      </c>
      <c r="G561" s="88">
        <f t="shared" ref="G561:L561" si="45">G550+G555+G560</f>
        <v>0</v>
      </c>
      <c r="H561" s="88">
        <f t="shared" si="45"/>
        <v>0</v>
      </c>
      <c r="I561" s="88">
        <f t="shared" si="45"/>
        <v>0</v>
      </c>
      <c r="J561" s="88">
        <f t="shared" si="45"/>
        <v>0</v>
      </c>
      <c r="K561" s="88">
        <f t="shared" si="45"/>
        <v>0</v>
      </c>
      <c r="L561" s="88">
        <f t="shared" si="45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809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/>
      <c r="G565" s="18"/>
      <c r="H565" s="18"/>
      <c r="I565" s="86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/>
      <c r="G566" s="18"/>
      <c r="H566" s="18"/>
      <c r="I566" s="86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776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/>
      <c r="I567" s="86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/>
      <c r="G568" s="18"/>
      <c r="H568" s="18"/>
      <c r="I568" s="86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/>
      <c r="G569" s="18"/>
      <c r="H569" s="18"/>
      <c r="I569" s="86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/>
      <c r="G570" s="18"/>
      <c r="H570" s="18"/>
      <c r="I570" s="86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5" t="s">
        <v>777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/>
      <c r="I571" s="86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5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273">
        <v>174270.75</v>
      </c>
      <c r="G572" s="273">
        <v>327924.87</v>
      </c>
      <c r="H572" s="18">
        <v>511143.09</v>
      </c>
      <c r="I572" s="86">
        <f t="shared" si="46"/>
        <v>1013338.71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5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/>
      <c r="G573" s="18"/>
      <c r="H573" s="18"/>
      <c r="I573" s="86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/>
      <c r="G574" s="18"/>
      <c r="H574" s="18">
        <f>H227</f>
        <v>12458.85</v>
      </c>
      <c r="I574" s="86">
        <f t="shared" si="46"/>
        <v>12458.85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/>
      <c r="G575" s="18"/>
      <c r="H575" s="18"/>
      <c r="I575" s="86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/>
      <c r="I576" s="86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/>
      <c r="G577" s="18"/>
      <c r="H577" s="18"/>
      <c r="I577" s="86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2" t="s">
        <v>779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6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8">
        <f>848399.33+1467.84</f>
        <v>849867.16999999993</v>
      </c>
      <c r="I581" s="18">
        <f>398160.46-2677.95</f>
        <v>395482.51</v>
      </c>
      <c r="J581" s="18">
        <f>566653.04+1210.11</f>
        <v>567863.15</v>
      </c>
      <c r="K581" s="103">
        <f t="shared" ref="K581:K587" si="47">SUM(H581:J581)</f>
        <v>1813212.83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8">
        <v>154228.91</v>
      </c>
      <c r="I582" s="18">
        <v>84124.84</v>
      </c>
      <c r="J582" s="18">
        <v>113166.48</v>
      </c>
      <c r="K582" s="103">
        <f t="shared" si="47"/>
        <v>351520.23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/>
      <c r="I583" s="18"/>
      <c r="J583" s="18">
        <v>4392.76</v>
      </c>
      <c r="K583" s="103">
        <f t="shared" si="47"/>
        <v>4392.76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/>
      <c r="I584" s="18">
        <v>8659.73</v>
      </c>
      <c r="J584" s="18">
        <v>28857.74</v>
      </c>
      <c r="K584" s="103">
        <f t="shared" si="47"/>
        <v>37517.47</v>
      </c>
      <c r="L584" s="24" t="s">
        <v>312</v>
      </c>
      <c r="M584" s="8"/>
    </row>
    <row r="585" spans="1:13" s="3" customFormat="1" ht="12" customHeight="1" x14ac:dyDescent="0.15">
      <c r="A585" s="170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18">
        <v>14362.32</v>
      </c>
      <c r="I585" s="18">
        <v>10401.16</v>
      </c>
      <c r="J585" s="18">
        <v>8902.7800000000007</v>
      </c>
      <c r="K585" s="103">
        <f t="shared" si="47"/>
        <v>33666.26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/>
      <c r="I586" s="18"/>
      <c r="J586" s="18"/>
      <c r="K586" s="103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/>
      <c r="I587" s="18"/>
      <c r="J587" s="18"/>
      <c r="K587" s="103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7">
        <v>2700</v>
      </c>
      <c r="G588" s="148" t="s">
        <v>97</v>
      </c>
      <c r="H588" s="107">
        <f>SUM(H581:H587)</f>
        <v>1018458.3999999999</v>
      </c>
      <c r="I588" s="107">
        <f>SUM(I581:I587)</f>
        <v>498668.23999999993</v>
      </c>
      <c r="J588" s="107">
        <f>SUM(J581:J587)</f>
        <v>723182.91</v>
      </c>
      <c r="K588" s="107">
        <f>SUM(K581:K587)</f>
        <v>2240309.5499999998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/>
      <c r="I592" s="18"/>
      <c r="J592" s="18"/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/>
      <c r="I593" s="18"/>
      <c r="J593" s="18"/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f>J203+J282</f>
        <v>271986.86</v>
      </c>
      <c r="I594" s="18">
        <f>J221+J301</f>
        <v>117077.17000000001</v>
      </c>
      <c r="J594" s="18">
        <f>J239+J320</f>
        <v>210147.74</v>
      </c>
      <c r="K594" s="103">
        <f>SUM(H594:J594)</f>
        <v>599211.77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8" t="s">
        <v>500</v>
      </c>
      <c r="G595" s="147">
        <v>700</v>
      </c>
      <c r="H595" s="107">
        <f>SUM(H592:H594)</f>
        <v>271986.86</v>
      </c>
      <c r="I595" s="107">
        <f>SUM(I592:I594)</f>
        <v>117077.17000000001</v>
      </c>
      <c r="J595" s="107">
        <f>SUM(J592:J594)</f>
        <v>210147.74</v>
      </c>
      <c r="K595" s="107">
        <f>SUM(K592:K594)</f>
        <v>599211.77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8">
        <v>37689.75</v>
      </c>
      <c r="G601" s="18">
        <v>4837.82</v>
      </c>
      <c r="H601" s="18"/>
      <c r="I601" s="18">
        <v>1028.8699999999999</v>
      </c>
      <c r="J601" s="18"/>
      <c r="K601" s="18"/>
      <c r="L601" s="87">
        <f>SUM(F601:K601)</f>
        <v>43556.44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8">
        <v>12883.5</v>
      </c>
      <c r="G602" s="18">
        <v>1470.33</v>
      </c>
      <c r="H602" s="18"/>
      <c r="I602" s="18">
        <v>407.22</v>
      </c>
      <c r="J602" s="18"/>
      <c r="K602" s="18"/>
      <c r="L602" s="87">
        <f>SUM(F602:K602)</f>
        <v>14761.05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8">
        <v>17178</v>
      </c>
      <c r="G603" s="18">
        <v>1960.44</v>
      </c>
      <c r="H603" s="18"/>
      <c r="I603" s="18">
        <v>542.96</v>
      </c>
      <c r="J603" s="18"/>
      <c r="K603" s="18"/>
      <c r="L603" s="87">
        <f>SUM(F603:K603)</f>
        <v>19681.399999999998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48">SUM(F601:F603)</f>
        <v>67751.25</v>
      </c>
      <c r="G604" s="107">
        <f t="shared" si="48"/>
        <v>8268.59</v>
      </c>
      <c r="H604" s="107">
        <f t="shared" si="48"/>
        <v>0</v>
      </c>
      <c r="I604" s="107">
        <f t="shared" si="48"/>
        <v>1979.05</v>
      </c>
      <c r="J604" s="107">
        <f t="shared" si="48"/>
        <v>0</v>
      </c>
      <c r="K604" s="107">
        <f t="shared" si="48"/>
        <v>0</v>
      </c>
      <c r="L604" s="88">
        <f t="shared" si="48"/>
        <v>77998.89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9" t="s">
        <v>53</v>
      </c>
      <c r="G606" s="150"/>
      <c r="H606" s="150"/>
      <c r="I606" s="149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3638183.45</v>
      </c>
      <c r="H607" s="108">
        <f>SUM(F44)</f>
        <v>3638183.45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502152.32</v>
      </c>
      <c r="H608" s="108">
        <f>SUM(G44)</f>
        <v>502152.32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352727.18</v>
      </c>
      <c r="H609" s="108">
        <f>SUM(H44)</f>
        <v>352727.18000000005</v>
      </c>
      <c r="I609" s="120" t="s">
        <v>103</v>
      </c>
      <c r="J609" s="108">
        <f>G609-H609</f>
        <v>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171936.96</v>
      </c>
      <c r="H610" s="108">
        <f>SUM(I44)</f>
        <v>171936.96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1497730.9</v>
      </c>
      <c r="H611" s="108">
        <f>SUM(J44)</f>
        <v>1497730.9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1972077.1600000001</v>
      </c>
      <c r="H612" s="108">
        <f>F466</f>
        <v>1972077.1600000001</v>
      </c>
      <c r="I612" s="120" t="s">
        <v>106</v>
      </c>
      <c r="J612" s="108">
        <f t="shared" ref="J612:J645" si="49">G612-H612</f>
        <v>0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7650.37</v>
      </c>
      <c r="H613" s="108">
        <f>G466</f>
        <v>7650.3699999999953</v>
      </c>
      <c r="I613" s="120" t="s">
        <v>108</v>
      </c>
      <c r="J613" s="108">
        <f t="shared" si="49"/>
        <v>0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0</v>
      </c>
      <c r="H614" s="108">
        <f>H466</f>
        <v>0</v>
      </c>
      <c r="I614" s="120" t="s">
        <v>110</v>
      </c>
      <c r="J614" s="108">
        <f t="shared" si="49"/>
        <v>0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104392.12</v>
      </c>
      <c r="H615" s="108">
        <f>I466</f>
        <v>104392.12</v>
      </c>
      <c r="I615" s="120" t="s">
        <v>112</v>
      </c>
      <c r="J615" s="108">
        <f t="shared" si="49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1497730.9</v>
      </c>
      <c r="H616" s="108">
        <f>J466</f>
        <v>1497730.9</v>
      </c>
      <c r="I616" s="139" t="s">
        <v>114</v>
      </c>
      <c r="J616" s="108">
        <f t="shared" si="49"/>
        <v>0</v>
      </c>
      <c r="K616" s="84"/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33844857.939999998</v>
      </c>
      <c r="H617" s="103">
        <f>SUM(F458)</f>
        <v>33844857.939999998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781709.66</v>
      </c>
      <c r="H618" s="103">
        <f>SUM(G458)</f>
        <v>781709.66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1113835.5899999999</v>
      </c>
      <c r="H619" s="103">
        <f>SUM(H458)</f>
        <v>1113835.5899999999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451.03</v>
      </c>
      <c r="H620" s="103">
        <f>SUM(I458)</f>
        <v>451.03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157482.01999999999</v>
      </c>
      <c r="H621" s="103">
        <f>SUM(J458)</f>
        <v>157482.01999999999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33011713.989999998</v>
      </c>
      <c r="H622" s="103">
        <f>SUM(F462)</f>
        <v>33011713.989999998</v>
      </c>
      <c r="I622" s="139" t="s">
        <v>120</v>
      </c>
      <c r="J622" s="108">
        <f t="shared" si="49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1633641.4699999997</v>
      </c>
      <c r="H623" s="103">
        <f>SUM(H462)</f>
        <v>1633641.4699999997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350690.76999999996</v>
      </c>
      <c r="H624" s="103">
        <f>I361</f>
        <v>350690.76999999996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781583.54</v>
      </c>
      <c r="H625" s="103">
        <f>SUM(G462)</f>
        <v>781583.54</v>
      </c>
      <c r="I625" s="139" t="s">
        <v>123</v>
      </c>
      <c r="J625" s="108">
        <f t="shared" si="49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0</v>
      </c>
      <c r="H626" s="103">
        <f>SUM(I462)</f>
        <v>0</v>
      </c>
      <c r="I626" s="139" t="s">
        <v>125</v>
      </c>
      <c r="J626" s="108">
        <f t="shared" si="49"/>
        <v>0</v>
      </c>
      <c r="K626" s="84"/>
      <c r="L626" s="87"/>
      <c r="M626" s="8"/>
    </row>
    <row r="627" spans="1:13" s="168" customFormat="1" ht="12" customHeight="1" x14ac:dyDescent="0.15">
      <c r="A627" s="160"/>
      <c r="B627" s="161"/>
      <c r="C627" s="161"/>
      <c r="D627" s="161"/>
      <c r="E627" s="161"/>
      <c r="F627" s="162" t="s">
        <v>501</v>
      </c>
      <c r="G627" s="150">
        <f>SUM(L400)</f>
        <v>157482.01999999999</v>
      </c>
      <c r="H627" s="163">
        <f>SUM(J458)</f>
        <v>157482.01999999999</v>
      </c>
      <c r="I627" s="164" t="s">
        <v>119</v>
      </c>
      <c r="J627" s="150">
        <f t="shared" si="49"/>
        <v>0</v>
      </c>
      <c r="K627" s="165"/>
      <c r="L627" s="166"/>
      <c r="M627" s="167"/>
    </row>
    <row r="628" spans="1:13" s="168" customFormat="1" ht="12" customHeight="1" x14ac:dyDescent="0.15">
      <c r="A628" s="160"/>
      <c r="B628" s="161"/>
      <c r="C628" s="161"/>
      <c r="D628" s="161"/>
      <c r="E628" s="161"/>
      <c r="F628" s="162" t="s">
        <v>502</v>
      </c>
      <c r="G628" s="150">
        <f>SUM(L426)</f>
        <v>0</v>
      </c>
      <c r="H628" s="163">
        <f>SUM(J462)</f>
        <v>0</v>
      </c>
      <c r="I628" s="164" t="s">
        <v>126</v>
      </c>
      <c r="J628" s="150">
        <f t="shared" si="49"/>
        <v>0</v>
      </c>
      <c r="K628" s="165"/>
      <c r="L628" s="166"/>
      <c r="M628" s="167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1497730.9</v>
      </c>
      <c r="H629" s="103">
        <f>SUM(F451)</f>
        <v>1497730.9</v>
      </c>
      <c r="I629" s="139" t="s">
        <v>128</v>
      </c>
      <c r="J629" s="108">
        <f t="shared" si="49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0</v>
      </c>
      <c r="H630" s="103">
        <f>SUM(G451)</f>
        <v>0</v>
      </c>
      <c r="I630" s="139" t="s">
        <v>130</v>
      </c>
      <c r="J630" s="108">
        <f t="shared" si="49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49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1497730.9</v>
      </c>
      <c r="H632" s="103">
        <f>SUM(I451)</f>
        <v>1497730.9</v>
      </c>
      <c r="I632" s="139" t="s">
        <v>134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49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18046.93</v>
      </c>
      <c r="H634" s="103">
        <f>H400</f>
        <v>18046.93</v>
      </c>
      <c r="I634" s="139" t="s">
        <v>504</v>
      </c>
      <c r="J634" s="108">
        <f t="shared" si="49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125000</v>
      </c>
      <c r="H635" s="103">
        <f>G400</f>
        <v>125000</v>
      </c>
      <c r="I635" s="139" t="s">
        <v>505</v>
      </c>
      <c r="J635" s="108">
        <f t="shared" si="49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157482.01999999999</v>
      </c>
      <c r="H636" s="103">
        <f>L400</f>
        <v>157482.01999999999</v>
      </c>
      <c r="I636" s="139" t="s">
        <v>501</v>
      </c>
      <c r="J636" s="108">
        <f t="shared" si="49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2240309.5499999998</v>
      </c>
      <c r="H637" s="103">
        <f>L200+L218+L236</f>
        <v>2240309.5500000003</v>
      </c>
      <c r="I637" s="139" t="s">
        <v>420</v>
      </c>
      <c r="J637" s="108">
        <f t="shared" si="49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599211.77</v>
      </c>
      <c r="H638" s="103">
        <f>(J249+J330)-(J247+J328)</f>
        <v>599211.77</v>
      </c>
      <c r="I638" s="139" t="s">
        <v>734</v>
      </c>
      <c r="J638" s="108">
        <f t="shared" si="49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1018458.4</v>
      </c>
      <c r="H639" s="103">
        <f>H588</f>
        <v>1018458.3999999999</v>
      </c>
      <c r="I639" s="139" t="s">
        <v>412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498668.24</v>
      </c>
      <c r="H640" s="103">
        <f>I588</f>
        <v>498668.23999999993</v>
      </c>
      <c r="I640" s="139" t="s">
        <v>413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723182.91</v>
      </c>
      <c r="H641" s="103">
        <f>J588</f>
        <v>723182.91</v>
      </c>
      <c r="I641" s="139" t="s">
        <v>414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82287.839999999997</v>
      </c>
      <c r="H642" s="103">
        <f>K255+K337</f>
        <v>82287.839999999997</v>
      </c>
      <c r="I642" s="139" t="s">
        <v>421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125000</v>
      </c>
      <c r="H645" s="103">
        <f>K258+K339</f>
        <v>125000</v>
      </c>
      <c r="I645" s="139" t="s">
        <v>424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13185295.92</v>
      </c>
      <c r="G650" s="19">
        <f>(L221+L301+L351)</f>
        <v>8533095.0500000007</v>
      </c>
      <c r="H650" s="19">
        <f>(L239+L320+L352)</f>
        <v>10455302.409999998</v>
      </c>
      <c r="I650" s="19">
        <f>SUM(F650:H650)</f>
        <v>32173693.379999995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209763.65263043382</v>
      </c>
      <c r="G651" s="19">
        <f>(L351/IF(SUM(L350:L352)=0,1,SUM(L350:L352))*(SUM(G89:G102)))</f>
        <v>113487.46745060982</v>
      </c>
      <c r="H651" s="19">
        <f>(L352/IF(SUM(L350:L352)=0,1,SUM(L350:L352))*(SUM(G89:G102)))</f>
        <v>212537.89991895636</v>
      </c>
      <c r="I651" s="19">
        <f>SUM(F651:H651)</f>
        <v>535789.02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1018605.25</v>
      </c>
      <c r="G652" s="19">
        <f>(L218+L298)-(J218+J298)</f>
        <v>498748.35</v>
      </c>
      <c r="H652" s="19">
        <f>(L236+L317)-(J236+J317)</f>
        <v>723732.33000000007</v>
      </c>
      <c r="I652" s="19">
        <f>SUM(F652:H652)</f>
        <v>2241085.9300000002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8"/>
      <c r="C653" s="168"/>
      <c r="D653" s="168"/>
      <c r="E653" s="168"/>
      <c r="F653" s="199">
        <f>SUM(F565:F577)+SUM(H592:H594)+SUM(L601)</f>
        <v>489814.05</v>
      </c>
      <c r="G653" s="199">
        <f>SUM(G565:G577)+SUM(I592:I594)+L602</f>
        <v>459763.09</v>
      </c>
      <c r="H653" s="199">
        <f>SUM(H565:H577)+SUM(J592:J594)+L603</f>
        <v>753431.08</v>
      </c>
      <c r="I653" s="19">
        <f>SUM(F653:H653)</f>
        <v>1703008.22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11467112.967369566</v>
      </c>
      <c r="G654" s="19">
        <f>G650-SUM(G651:G653)</f>
        <v>7461096.1425493909</v>
      </c>
      <c r="H654" s="19">
        <f>H650-SUM(H651:H653)</f>
        <v>8765601.1000810415</v>
      </c>
      <c r="I654" s="19">
        <f>I650-SUM(I651:I653)</f>
        <v>27693810.209999993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809.16</v>
      </c>
      <c r="G655" s="248">
        <v>464.79</v>
      </c>
      <c r="H655" s="248">
        <v>651.33000000000004</v>
      </c>
      <c r="I655" s="19">
        <f>SUM(F655:H655)</f>
        <v>1925.2800000000002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14171.63</v>
      </c>
      <c r="G657" s="19">
        <f>ROUND(G654/G655,2)</f>
        <v>16052.62</v>
      </c>
      <c r="H657" s="19">
        <f>ROUND(H654/H655,2)</f>
        <v>13458</v>
      </c>
      <c r="I657" s="19">
        <f>ROUND(I654/I655,2)</f>
        <v>14384.3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-4.1900000000000004</v>
      </c>
      <c r="I660" s="19">
        <f>SUM(F660:H660)</f>
        <v>-4.1900000000000004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14171.63</v>
      </c>
      <c r="G662" s="19">
        <f>ROUND((G654+G659)/(G655+G660),2)</f>
        <v>16052.62</v>
      </c>
      <c r="H662" s="19">
        <f>ROUND((H654+H659)/(H655+H660),2)</f>
        <v>13545.14</v>
      </c>
      <c r="I662" s="19">
        <f>ROUND((I654+I659)/(I655+I660),2)</f>
        <v>14415.68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5328-1412-466D-9C3E-97577608DADD}">
  <sheetPr>
    <tabColor indexed="20"/>
  </sheetPr>
  <dimension ref="A1:C52"/>
  <sheetViews>
    <sheetView topLeftCell="A16" workbookViewId="0">
      <selection activeCell="E40" sqref="E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819</v>
      </c>
      <c r="B1" s="232" t="str">
        <f>'DOE25'!A2</f>
        <v>Kearsarge Reg SD</v>
      </c>
      <c r="C1" s="238" t="s">
        <v>873</v>
      </c>
    </row>
    <row r="2" spans="1:3" x14ac:dyDescent="0.2">
      <c r="A2" s="233"/>
      <c r="B2" s="232"/>
    </row>
    <row r="3" spans="1:3" x14ac:dyDescent="0.2">
      <c r="A3" s="274" t="s">
        <v>818</v>
      </c>
      <c r="B3" s="274"/>
      <c r="C3" s="274"/>
    </row>
    <row r="4" spans="1:3" x14ac:dyDescent="0.2">
      <c r="A4" s="236"/>
      <c r="B4" s="237" t="str">
        <f>'DOE25'!H1</f>
        <v>DOE 25  2009-2010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817</v>
      </c>
      <c r="C6" s="275"/>
    </row>
    <row r="7" spans="1:3" x14ac:dyDescent="0.2">
      <c r="A7" s="239" t="s">
        <v>820</v>
      </c>
      <c r="B7" s="276" t="s">
        <v>816</v>
      </c>
      <c r="C7" s="277"/>
    </row>
    <row r="8" spans="1:3" x14ac:dyDescent="0.2">
      <c r="B8" s="228" t="s">
        <v>54</v>
      </c>
      <c r="C8" s="228" t="s">
        <v>810</v>
      </c>
    </row>
    <row r="9" spans="1:3" x14ac:dyDescent="0.2">
      <c r="A9" s="33" t="s">
        <v>811</v>
      </c>
      <c r="B9" s="229">
        <f>'DOE25'!F189+'DOE25'!F207+'DOE25'!F225+'DOE25'!F268+'DOE25'!F287+'DOE25'!F306</f>
        <v>9097768.8300000001</v>
      </c>
      <c r="C9" s="229">
        <f>'DOE25'!G189+'DOE25'!G207+'DOE25'!G225+'DOE25'!G268+'DOE25'!G287+'DOE25'!G306</f>
        <v>3373028.5700000003</v>
      </c>
    </row>
    <row r="10" spans="1:3" x14ac:dyDescent="0.2">
      <c r="A10" t="s">
        <v>813</v>
      </c>
      <c r="B10" s="240">
        <v>8124312.5</v>
      </c>
      <c r="C10" s="240">
        <f>3041066.51-2185</f>
        <v>3038881.51</v>
      </c>
    </row>
    <row r="11" spans="1:3" x14ac:dyDescent="0.2">
      <c r="A11" t="s">
        <v>814</v>
      </c>
      <c r="B11" s="240">
        <v>322628.96000000002</v>
      </c>
      <c r="C11" s="240">
        <v>68717.440000000002</v>
      </c>
    </row>
    <row r="12" spans="1:3" x14ac:dyDescent="0.2">
      <c r="A12" t="s">
        <v>815</v>
      </c>
      <c r="B12" s="240">
        <v>650827.37</v>
      </c>
      <c r="C12" s="240">
        <v>265429.62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9097768.8300000001</v>
      </c>
      <c r="C13" s="231">
        <f>SUM(C10:C12)</f>
        <v>3373028.57</v>
      </c>
    </row>
    <row r="14" spans="1:3" x14ac:dyDescent="0.2">
      <c r="B14" s="230"/>
      <c r="C14" s="230"/>
    </row>
    <row r="15" spans="1:3" x14ac:dyDescent="0.2">
      <c r="B15" s="275" t="s">
        <v>817</v>
      </c>
      <c r="C15" s="275"/>
    </row>
    <row r="16" spans="1:3" x14ac:dyDescent="0.2">
      <c r="A16" s="239" t="s">
        <v>821</v>
      </c>
      <c r="B16" s="276" t="s">
        <v>738</v>
      </c>
      <c r="C16" s="277"/>
    </row>
    <row r="17" spans="1:3" x14ac:dyDescent="0.2">
      <c r="B17" s="228" t="s">
        <v>54</v>
      </c>
      <c r="C17" s="228" t="s">
        <v>810</v>
      </c>
    </row>
    <row r="18" spans="1:3" x14ac:dyDescent="0.2">
      <c r="A18" s="33" t="s">
        <v>811</v>
      </c>
      <c r="B18" s="229">
        <f>'DOE25'!F190+'DOE25'!F208+'DOE25'!F226+'DOE25'!F269+'DOE25'!F288+'DOE25'!F307</f>
        <v>3492450.84</v>
      </c>
      <c r="C18" s="229">
        <f>'DOE25'!G190+'DOE25'!G208+'DOE25'!G226+'DOE25'!G269+'DOE25'!G288+'DOE25'!G307</f>
        <v>947786.72</v>
      </c>
    </row>
    <row r="19" spans="1:3" x14ac:dyDescent="0.2">
      <c r="A19" t="s">
        <v>813</v>
      </c>
      <c r="B19" s="240">
        <v>2462359</v>
      </c>
      <c r="C19" s="240">
        <v>767523.5</v>
      </c>
    </row>
    <row r="20" spans="1:3" x14ac:dyDescent="0.2">
      <c r="A20" t="s">
        <v>814</v>
      </c>
      <c r="B20" s="240">
        <v>988615.18</v>
      </c>
      <c r="C20" s="240">
        <v>176882.87</v>
      </c>
    </row>
    <row r="21" spans="1:3" x14ac:dyDescent="0.2">
      <c r="A21" t="s">
        <v>815</v>
      </c>
      <c r="B21" s="240">
        <v>41476.660000000003</v>
      </c>
      <c r="C21" s="240">
        <v>3380.35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3492450.8400000003</v>
      </c>
      <c r="C22" s="231">
        <f>SUM(C19:C21)</f>
        <v>947786.72</v>
      </c>
    </row>
    <row r="23" spans="1:3" x14ac:dyDescent="0.2">
      <c r="B23" s="230"/>
      <c r="C23" s="230"/>
    </row>
    <row r="24" spans="1:3" x14ac:dyDescent="0.2">
      <c r="B24" s="275" t="s">
        <v>817</v>
      </c>
      <c r="C24" s="275"/>
    </row>
    <row r="25" spans="1:3" x14ac:dyDescent="0.2">
      <c r="A25" s="239" t="s">
        <v>822</v>
      </c>
      <c r="B25" s="276" t="s">
        <v>739</v>
      </c>
      <c r="C25" s="277"/>
    </row>
    <row r="26" spans="1:3" x14ac:dyDescent="0.2">
      <c r="B26" s="228" t="s">
        <v>54</v>
      </c>
      <c r="C26" s="228" t="s">
        <v>810</v>
      </c>
    </row>
    <row r="27" spans="1:3" x14ac:dyDescent="0.2">
      <c r="A27" s="33" t="s">
        <v>811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813</v>
      </c>
      <c r="B28" s="240"/>
      <c r="C28" s="240"/>
    </row>
    <row r="29" spans="1:3" x14ac:dyDescent="0.2">
      <c r="A29" t="s">
        <v>814</v>
      </c>
      <c r="B29" s="240"/>
      <c r="C29" s="240"/>
    </row>
    <row r="30" spans="1:3" x14ac:dyDescent="0.2">
      <c r="A30" t="s">
        <v>815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817</v>
      </c>
      <c r="C33" s="275"/>
    </row>
    <row r="34" spans="1:3" x14ac:dyDescent="0.2">
      <c r="A34" s="239" t="s">
        <v>823</v>
      </c>
      <c r="B34" s="276" t="s">
        <v>740</v>
      </c>
      <c r="C34" s="277"/>
    </row>
    <row r="35" spans="1:3" x14ac:dyDescent="0.2">
      <c r="B35" s="228" t="s">
        <v>54</v>
      </c>
      <c r="C35" s="228" t="s">
        <v>810</v>
      </c>
    </row>
    <row r="36" spans="1:3" x14ac:dyDescent="0.2">
      <c r="A36" s="33" t="s">
        <v>811</v>
      </c>
      <c r="B36" s="235">
        <f>'DOE25'!F192+'DOE25'!F210+'DOE25'!F228+'DOE25'!F271+'DOE25'!F290+'DOE25'!F309</f>
        <v>255744.26</v>
      </c>
      <c r="C36" s="235">
        <f>'DOE25'!G192+'DOE25'!G210+'DOE25'!G228+'DOE25'!G271+'DOE25'!G290+'DOE25'!G309</f>
        <v>50837.03</v>
      </c>
    </row>
    <row r="37" spans="1:3" x14ac:dyDescent="0.2">
      <c r="A37" t="s">
        <v>813</v>
      </c>
      <c r="B37" s="240">
        <f>147467.5+6930</f>
        <v>154397.5</v>
      </c>
      <c r="C37" s="240">
        <f>39307.46+541.71</f>
        <v>39849.17</v>
      </c>
    </row>
    <row r="38" spans="1:3" x14ac:dyDescent="0.2">
      <c r="A38" t="s">
        <v>814</v>
      </c>
      <c r="B38" s="240">
        <f>26251+8135</f>
        <v>34386</v>
      </c>
      <c r="C38" s="240">
        <f>2619.06+651.75</f>
        <v>3270.81</v>
      </c>
    </row>
    <row r="39" spans="1:3" x14ac:dyDescent="0.2">
      <c r="A39" t="s">
        <v>815</v>
      </c>
      <c r="B39" s="240">
        <v>66960.759999999995</v>
      </c>
      <c r="C39" s="240">
        <f>7717.05</f>
        <v>7717.05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255744.26</v>
      </c>
      <c r="C40" s="231">
        <f>SUM(C37:C39)</f>
        <v>50837.03</v>
      </c>
    </row>
    <row r="41" spans="1:3" x14ac:dyDescent="0.2">
      <c r="B41" s="230"/>
      <c r="C41" s="230"/>
    </row>
    <row r="42" spans="1:3" x14ac:dyDescent="0.2">
      <c r="A42" s="33" t="s">
        <v>871</v>
      </c>
      <c r="B42" s="230"/>
      <c r="C42" s="230"/>
    </row>
    <row r="43" spans="1:3" x14ac:dyDescent="0.2">
      <c r="A43" t="s">
        <v>875</v>
      </c>
      <c r="B43" s="230"/>
      <c r="C43" s="230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4" t="s">
        <v>812</v>
      </c>
    </row>
    <row r="49" spans="1:1" x14ac:dyDescent="0.2">
      <c r="A49" s="268" t="s">
        <v>878</v>
      </c>
    </row>
    <row r="50" spans="1:1" x14ac:dyDescent="0.2">
      <c r="A50" s="268" t="s">
        <v>872</v>
      </c>
    </row>
    <row r="51" spans="1:1" x14ac:dyDescent="0.2">
      <c r="A51" s="268" t="s">
        <v>879</v>
      </c>
    </row>
    <row r="52" spans="1:1" x14ac:dyDescent="0.2">
      <c r="A52" s="269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A8D1-9DF8-41DE-B5E2-8FE2D8386BBC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824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748</v>
      </c>
      <c r="B2" s="265" t="str">
        <f>'DOE25'!A2</f>
        <v>Kearsarge Reg SD</v>
      </c>
      <c r="C2" s="180"/>
      <c r="D2" s="180" t="s">
        <v>826</v>
      </c>
      <c r="E2" s="180" t="s">
        <v>828</v>
      </c>
      <c r="F2" s="278" t="s">
        <v>855</v>
      </c>
      <c r="G2" s="279"/>
      <c r="H2" s="280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827</v>
      </c>
      <c r="E3" s="180" t="s">
        <v>829</v>
      </c>
      <c r="F3" s="241" t="s">
        <v>869</v>
      </c>
      <c r="G3" s="217" t="s">
        <v>59</v>
      </c>
      <c r="H3" s="242" t="s">
        <v>832</v>
      </c>
    </row>
    <row r="4" spans="1:9" x14ac:dyDescent="0.2">
      <c r="A4" s="251" t="s">
        <v>834</v>
      </c>
      <c r="B4" s="251" t="s">
        <v>850</v>
      </c>
      <c r="C4" s="251" t="s">
        <v>825</v>
      </c>
      <c r="D4" s="251" t="s">
        <v>851</v>
      </c>
      <c r="E4" s="251" t="s">
        <v>851</v>
      </c>
      <c r="F4" s="250" t="s">
        <v>831</v>
      </c>
      <c r="G4" s="251" t="s">
        <v>845</v>
      </c>
      <c r="H4" s="252" t="s">
        <v>833</v>
      </c>
    </row>
    <row r="5" spans="1:9" x14ac:dyDescent="0.2">
      <c r="A5" s="32">
        <v>1000</v>
      </c>
      <c r="B5" t="s">
        <v>218</v>
      </c>
      <c r="C5" s="245">
        <f t="shared" ref="C5:C19" si="0">SUM(D5:H5)</f>
        <v>19056543.849999998</v>
      </c>
      <c r="D5" s="20">
        <f>SUM('DOE25'!L189:L192)+SUM('DOE25'!L207:L210)+SUM('DOE25'!L225:L228)-F5-G5</f>
        <v>18825162.609999999</v>
      </c>
      <c r="E5" s="243"/>
      <c r="F5" s="255">
        <f>SUM('DOE25'!J189:J192)+SUM('DOE25'!J207:J210)+SUM('DOE25'!J225:J228)</f>
        <v>206974.24</v>
      </c>
      <c r="G5" s="53">
        <f>SUM('DOE25'!K189:K192)+SUM('DOE25'!K207:K210)+SUM('DOE25'!K225:K228)</f>
        <v>24407</v>
      </c>
      <c r="H5" s="259"/>
    </row>
    <row r="6" spans="1:9" x14ac:dyDescent="0.2">
      <c r="A6" s="32">
        <v>2100</v>
      </c>
      <c r="B6" t="s">
        <v>835</v>
      </c>
      <c r="C6" s="245">
        <f t="shared" si="0"/>
        <v>1316551.8900000001</v>
      </c>
      <c r="D6" s="20">
        <f>'DOE25'!L194+'DOE25'!L212+'DOE25'!L230-F6-G6</f>
        <v>1316251.79</v>
      </c>
      <c r="E6" s="243"/>
      <c r="F6" s="255">
        <f>'DOE25'!J194+'DOE25'!J212+'DOE25'!J230</f>
        <v>300.10000000000002</v>
      </c>
      <c r="G6" s="53">
        <f>'DOE25'!K194+'DOE25'!K212+'DOE25'!K230</f>
        <v>0</v>
      </c>
      <c r="H6" s="259"/>
    </row>
    <row r="7" spans="1:9" x14ac:dyDescent="0.2">
      <c r="A7" s="32">
        <v>2200</v>
      </c>
      <c r="B7" t="s">
        <v>868</v>
      </c>
      <c r="C7" s="245">
        <f t="shared" si="0"/>
        <v>647779.57000000007</v>
      </c>
      <c r="D7" s="20">
        <f>'DOE25'!L195+'DOE25'!L213+'DOE25'!L231-F7-G7</f>
        <v>638733.04</v>
      </c>
      <c r="E7" s="243"/>
      <c r="F7" s="255">
        <f>'DOE25'!J195+'DOE25'!J213+'DOE25'!J231</f>
        <v>9046.5300000000007</v>
      </c>
      <c r="G7" s="53">
        <f>'DOE25'!K195+'DOE25'!K213+'DOE25'!K231</f>
        <v>0</v>
      </c>
      <c r="H7" s="259"/>
    </row>
    <row r="8" spans="1:9" x14ac:dyDescent="0.2">
      <c r="A8" s="32">
        <v>2300</v>
      </c>
      <c r="B8" t="s">
        <v>836</v>
      </c>
      <c r="C8" s="245">
        <f t="shared" si="0"/>
        <v>1396820.48</v>
      </c>
      <c r="D8" s="243"/>
      <c r="E8" s="20">
        <f>'DOE25'!L196+'DOE25'!L214+'DOE25'!L232-F8-G8-D9-D11</f>
        <v>1293147.18</v>
      </c>
      <c r="F8" s="255">
        <f>'DOE25'!J196+'DOE25'!J214+'DOE25'!J232</f>
        <v>86094.040000000008</v>
      </c>
      <c r="G8" s="53">
        <f>'DOE25'!K196+'DOE25'!K214+'DOE25'!K232</f>
        <v>17579.259999999998</v>
      </c>
      <c r="H8" s="259"/>
    </row>
    <row r="9" spans="1:9" x14ac:dyDescent="0.2">
      <c r="A9" s="32">
        <v>2310</v>
      </c>
      <c r="B9" t="s">
        <v>852</v>
      </c>
      <c r="C9" s="245">
        <f t="shared" si="0"/>
        <v>41415.49</v>
      </c>
      <c r="D9" s="244">
        <v>41415.49</v>
      </c>
      <c r="E9" s="243"/>
      <c r="F9" s="258"/>
      <c r="G9" s="256"/>
      <c r="H9" s="259"/>
    </row>
    <row r="10" spans="1:9" x14ac:dyDescent="0.2">
      <c r="A10" s="32">
        <v>2317</v>
      </c>
      <c r="B10" t="s">
        <v>853</v>
      </c>
      <c r="C10" s="245">
        <f t="shared" si="0"/>
        <v>41687.5</v>
      </c>
      <c r="D10" s="243"/>
      <c r="E10" s="244">
        <v>41687.5</v>
      </c>
      <c r="F10" s="258"/>
      <c r="G10" s="256"/>
      <c r="H10" s="259"/>
    </row>
    <row r="11" spans="1:9" x14ac:dyDescent="0.2">
      <c r="A11" s="32">
        <v>2321</v>
      </c>
      <c r="B11" t="s">
        <v>865</v>
      </c>
      <c r="C11" s="245">
        <f t="shared" si="0"/>
        <v>366682.76</v>
      </c>
      <c r="D11" s="244">
        <f>425284.43-58601.67</f>
        <v>366682.76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1685382.9899999998</v>
      </c>
      <c r="D12" s="20">
        <f>'DOE25'!L197+'DOE25'!L215+'DOE25'!L233-F12-G12</f>
        <v>1668250.4499999997</v>
      </c>
      <c r="E12" s="243"/>
      <c r="F12" s="255">
        <f>'DOE25'!J197+'DOE25'!J215+'DOE25'!J233</f>
        <v>154</v>
      </c>
      <c r="G12" s="53">
        <f>'DOE25'!K197+'DOE25'!K215+'DOE25'!K233</f>
        <v>16978.54</v>
      </c>
      <c r="H12" s="259"/>
    </row>
    <row r="13" spans="1:9" x14ac:dyDescent="0.2">
      <c r="A13" s="32">
        <v>2500</v>
      </c>
      <c r="B13" t="s">
        <v>837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866</v>
      </c>
      <c r="C14" s="245">
        <f t="shared" si="0"/>
        <v>3006981.79</v>
      </c>
      <c r="D14" s="20">
        <f>'DOE25'!L199+'DOE25'!L217+'DOE25'!L235-F14-G14</f>
        <v>2969935.77</v>
      </c>
      <c r="E14" s="243"/>
      <c r="F14" s="255">
        <f>'DOE25'!J199+'DOE25'!J217+'DOE25'!J235</f>
        <v>35871.020000000004</v>
      </c>
      <c r="G14" s="53">
        <f>'DOE25'!K199+'DOE25'!K217+'DOE25'!K235</f>
        <v>1175</v>
      </c>
      <c r="H14" s="259"/>
    </row>
    <row r="15" spans="1:9" x14ac:dyDescent="0.2">
      <c r="A15" s="32">
        <v>2700</v>
      </c>
      <c r="B15" t="s">
        <v>838</v>
      </c>
      <c r="C15" s="245">
        <f t="shared" si="0"/>
        <v>2240309.5500000003</v>
      </c>
      <c r="D15" s="20">
        <f>'DOE25'!L200+'DOE25'!L218+'DOE25'!L236-F15-G15</f>
        <v>2240309.5500000003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839</v>
      </c>
      <c r="C16" s="245">
        <f t="shared" si="0"/>
        <v>0</v>
      </c>
      <c r="D16" s="243"/>
      <c r="E16" s="20">
        <f>'DOE25'!L201+'DOE25'!L219+'DOE25'!L237-F16-G16</f>
        <v>0</v>
      </c>
      <c r="F16" s="255">
        <f>'DOE25'!J201+'DOE25'!J219+'DOE25'!J237</f>
        <v>0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840</v>
      </c>
      <c r="C17" s="245">
        <f t="shared" si="0"/>
        <v>15525.28</v>
      </c>
      <c r="D17" s="20">
        <f>'DOE25'!L243-F17-G17</f>
        <v>15525.28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841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842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830</v>
      </c>
      <c r="F21" s="260"/>
      <c r="G21" s="52"/>
      <c r="H21" s="261"/>
    </row>
    <row r="22" spans="1:8" x14ac:dyDescent="0.2">
      <c r="A22" s="32">
        <v>4000</v>
      </c>
      <c r="B22" t="s">
        <v>867</v>
      </c>
      <c r="C22" s="245">
        <f>SUM(D22:H22)</f>
        <v>0</v>
      </c>
      <c r="D22" s="243"/>
      <c r="E22" s="243"/>
      <c r="F22" s="255">
        <f>'DOE25'!L247+'DOE25'!L328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843</v>
      </c>
      <c r="B25" t="s">
        <v>844</v>
      </c>
      <c r="C25" s="245">
        <f>SUM(D25:H25)</f>
        <v>3030432.5</v>
      </c>
      <c r="D25" s="243"/>
      <c r="E25" s="243"/>
      <c r="F25" s="258"/>
      <c r="G25" s="256"/>
      <c r="H25" s="257">
        <f>'DOE25'!L252+'DOE25'!L253+'DOE25'!L333+'DOE25'!L334</f>
        <v>3030432.5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846</v>
      </c>
      <c r="F27" s="260"/>
      <c r="G27" s="52"/>
      <c r="H27" s="261"/>
    </row>
    <row r="28" spans="1:8" x14ac:dyDescent="0.2">
      <c r="A28" s="32">
        <v>3100</v>
      </c>
      <c r="B28" t="s">
        <v>859</v>
      </c>
      <c r="F28" s="260"/>
      <c r="G28" s="52"/>
      <c r="H28" s="261"/>
    </row>
    <row r="29" spans="1:8" x14ac:dyDescent="0.2">
      <c r="A29" s="32"/>
      <c r="B29" t="s">
        <v>847</v>
      </c>
      <c r="C29" s="245">
        <f>SUM(D29:H29)</f>
        <v>486842.69000000006</v>
      </c>
      <c r="D29" s="20">
        <f>'DOE25'!L350+'DOE25'!L351+'DOE25'!L352-'DOE25'!I359-F29-G29</f>
        <v>471305.50000000006</v>
      </c>
      <c r="E29" s="243"/>
      <c r="F29" s="255">
        <f>'DOE25'!J350+'DOE25'!J351+'DOE25'!J352</f>
        <v>15490.15</v>
      </c>
      <c r="G29" s="53">
        <f>'DOE25'!K350+'DOE25'!K351+'DOE25'!K352</f>
        <v>47.04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861</v>
      </c>
      <c r="B31" t="s">
        <v>860</v>
      </c>
      <c r="C31" s="245">
        <f>SUM(D31:H31)</f>
        <v>1633641.4699999997</v>
      </c>
      <c r="D31" s="20">
        <f>'DOE25'!L282+'DOE25'!L301+'DOE25'!L320+'DOE25'!L325+'DOE25'!L326+'DOE25'!L327-F31-G31</f>
        <v>1231939.1599999997</v>
      </c>
      <c r="E31" s="243"/>
      <c r="F31" s="255">
        <f>'DOE25'!J282+'DOE25'!J301+'DOE25'!J320+'DOE25'!J325+'DOE25'!J326+'DOE25'!J327</f>
        <v>260771.84</v>
      </c>
      <c r="G31" s="53">
        <f>'DOE25'!K282+'DOE25'!K301+'DOE25'!K320+'DOE25'!K325+'DOE25'!K326+'DOE25'!K327</f>
        <v>140930.47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848</v>
      </c>
      <c r="D33" s="246">
        <f>SUM(D5:D31)</f>
        <v>29785511.399999999</v>
      </c>
      <c r="E33" s="246">
        <f>SUM(E5:E31)</f>
        <v>1334834.68</v>
      </c>
      <c r="F33" s="246">
        <f>SUM(F5:F31)</f>
        <v>614701.92000000004</v>
      </c>
      <c r="G33" s="246">
        <f>SUM(G5:G31)</f>
        <v>201117.31</v>
      </c>
      <c r="H33" s="246">
        <f>SUM(H5:H31)</f>
        <v>3030432.5</v>
      </c>
    </row>
    <row r="35" spans="2:8" ht="12" thickBot="1" x14ac:dyDescent="0.25">
      <c r="B35" s="253" t="s">
        <v>881</v>
      </c>
      <c r="D35" s="254">
        <f>E33</f>
        <v>1334834.68</v>
      </c>
      <c r="E35" s="249"/>
    </row>
    <row r="36" spans="2:8" ht="12" thickTop="1" x14ac:dyDescent="0.2">
      <c r="B36" t="s">
        <v>849</v>
      </c>
      <c r="D36" s="20">
        <f>D33</f>
        <v>29785511.399999999</v>
      </c>
    </row>
    <row r="38" spans="2:8" x14ac:dyDescent="0.2">
      <c r="B38" s="186" t="s">
        <v>889</v>
      </c>
      <c r="C38" s="266"/>
      <c r="D38" s="267"/>
    </row>
    <row r="39" spans="2:8" x14ac:dyDescent="0.2">
      <c r="B39" t="s">
        <v>858</v>
      </c>
      <c r="D39" s="180" t="str">
        <f>IF(E10&gt;0,"Y","N")</f>
        <v>Y</v>
      </c>
    </row>
    <row r="41" spans="2:8" x14ac:dyDescent="0.2">
      <c r="B41" s="264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398A-D92C-4281-9B48-0A6E9C71646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M15" sqref="M1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Kearsarge Reg SD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1555435.15</v>
      </c>
      <c r="D9" s="94">
        <f>'DOE25'!G9</f>
        <v>0</v>
      </c>
      <c r="E9" s="94">
        <f>'DOE25'!H9</f>
        <v>0</v>
      </c>
      <c r="F9" s="94">
        <f>'DOE25'!I9</f>
        <v>171936.96</v>
      </c>
      <c r="G9" s="94">
        <f>'DOE25'!J9</f>
        <v>0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1002889.01</v>
      </c>
      <c r="D10" s="94">
        <f>'DOE25'!G10</f>
        <v>449992.64</v>
      </c>
      <c r="E10" s="94">
        <f>'DOE25'!H10</f>
        <v>0</v>
      </c>
      <c r="F10" s="94">
        <f>'DOE25'!I10</f>
        <v>0</v>
      </c>
      <c r="G10" s="94">
        <f>'DOE25'!J10</f>
        <v>1497730.9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557903.32999999996</v>
      </c>
      <c r="D12" s="94">
        <f>'DOE25'!G12</f>
        <v>26285.64</v>
      </c>
      <c r="E12" s="94">
        <f>'DOE25'!H12</f>
        <v>75651.33</v>
      </c>
      <c r="F12" s="94">
        <f>'DOE25'!I12</f>
        <v>0</v>
      </c>
      <c r="G12" s="94">
        <f>'DOE25'!J12</f>
        <v>0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407379.25</v>
      </c>
      <c r="D13" s="94">
        <f>'DOE25'!G13</f>
        <v>18223.669999999998</v>
      </c>
      <c r="E13" s="94">
        <f>'DOE25'!H13</f>
        <v>277075.84999999998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37822.01</v>
      </c>
      <c r="D14" s="94">
        <f>'DOE25'!G14</f>
        <v>0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76754.7</v>
      </c>
      <c r="D16" s="94">
        <f>'DOE25'!G16</f>
        <v>7650.37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3638183.45</v>
      </c>
      <c r="D19" s="41">
        <f>SUM(D9:D18)</f>
        <v>502152.32</v>
      </c>
      <c r="E19" s="41">
        <f>SUM(E9:E18)</f>
        <v>352727.18</v>
      </c>
      <c r="F19" s="41">
        <f>SUM(F9:F18)</f>
        <v>171936.96</v>
      </c>
      <c r="G19" s="41">
        <f>SUM(G9:G18)</f>
        <v>1497730.9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72907.06</v>
      </c>
      <c r="D22" s="94">
        <f>'DOE25'!G23</f>
        <v>458118.05</v>
      </c>
      <c r="E22" s="94">
        <f>'DOE25'!H23</f>
        <v>61270.35</v>
      </c>
      <c r="F22" s="94">
        <f>'DOE25'!I23</f>
        <v>67544.84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320373.67</v>
      </c>
      <c r="D24" s="94">
        <f>'DOE25'!G25</f>
        <v>15905.09</v>
      </c>
      <c r="E24" s="94">
        <f>'DOE25'!H25</f>
        <v>73336.63</v>
      </c>
      <c r="F24" s="94">
        <f>'DOE25'!I25</f>
        <v>0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1270691.94</v>
      </c>
      <c r="D28" s="94">
        <f>'DOE25'!G29</f>
        <v>5345.15</v>
      </c>
      <c r="E28" s="94">
        <f>'DOE25'!H29</f>
        <v>37326.239999999998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2133.62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0</v>
      </c>
      <c r="D30" s="94">
        <f>'DOE25'!G31</f>
        <v>15133.66</v>
      </c>
      <c r="E30" s="94">
        <f>'DOE25'!H31</f>
        <v>180793.96000000002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1666106.29</v>
      </c>
      <c r="D32" s="41">
        <f>SUM(D22:D31)</f>
        <v>494501.95</v>
      </c>
      <c r="E32" s="41">
        <f>SUM(E22:E31)</f>
        <v>352727.18000000005</v>
      </c>
      <c r="F32" s="41">
        <f>SUM(F22:F31)</f>
        <v>67544.84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76754.7</v>
      </c>
      <c r="D34" s="94">
        <f>'DOE25'!G35</f>
        <v>7650.37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229698.17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0</v>
      </c>
      <c r="F37" s="94">
        <f>'DOE25'!I38</f>
        <v>0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50000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0</v>
      </c>
      <c r="D40" s="94">
        <f>'DOE25'!G41</f>
        <v>0</v>
      </c>
      <c r="E40" s="94">
        <f>'DOE25'!H41</f>
        <v>0</v>
      </c>
      <c r="F40" s="94">
        <f>'DOE25'!I41</f>
        <v>104392.12</v>
      </c>
      <c r="G40" s="94">
        <f>'DOE25'!J41</f>
        <v>1497730.9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1615624.29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1972077.1600000001</v>
      </c>
      <c r="D42" s="41">
        <f>SUM(D34:D41)</f>
        <v>7650.37</v>
      </c>
      <c r="E42" s="41">
        <f>SUM(E34:E41)</f>
        <v>0</v>
      </c>
      <c r="F42" s="41">
        <f>SUM(F34:F41)</f>
        <v>104392.12</v>
      </c>
      <c r="G42" s="41">
        <f>SUM(G34:G41)</f>
        <v>1497730.9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3638183.45</v>
      </c>
      <c r="D43" s="41">
        <f>D42+D32</f>
        <v>502152.32</v>
      </c>
      <c r="E43" s="41">
        <f>E42+E32</f>
        <v>352727.18000000005</v>
      </c>
      <c r="F43" s="41">
        <f>F42+F32</f>
        <v>171936.96</v>
      </c>
      <c r="G43" s="41">
        <f>G42+G32</f>
        <v>1497730.9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21196396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168613.56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0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8448.65</v>
      </c>
      <c r="D51" s="94">
        <f>'DOE25'!G88</f>
        <v>1013.25</v>
      </c>
      <c r="E51" s="94">
        <f>'DOE25'!H88</f>
        <v>0</v>
      </c>
      <c r="F51" s="94">
        <f>'DOE25'!I88</f>
        <v>451.03</v>
      </c>
      <c r="G51" s="94">
        <f>'DOE25'!J88</f>
        <v>18046.93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463221.54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94246.8</v>
      </c>
      <c r="D53" s="94">
        <f>SUM('DOE25'!G90:G102)</f>
        <v>72567.48</v>
      </c>
      <c r="E53" s="94">
        <f>SUM('DOE25'!H90:H102)</f>
        <v>123267.13</v>
      </c>
      <c r="F53" s="94">
        <f>SUM('DOE25'!I90:I102)</f>
        <v>0</v>
      </c>
      <c r="G53" s="94">
        <f>SUM('DOE25'!J90:J102)</f>
        <v>14435.09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271309.01</v>
      </c>
      <c r="D54" s="129">
        <f>SUM(D49:D53)</f>
        <v>536802.27</v>
      </c>
      <c r="E54" s="129">
        <f>SUM(E49:E53)</f>
        <v>123267.13</v>
      </c>
      <c r="F54" s="129">
        <f>SUM(F49:F53)</f>
        <v>451.03</v>
      </c>
      <c r="G54" s="129">
        <f>SUM(G49:G53)</f>
        <v>32482.02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21467705.010000002</v>
      </c>
      <c r="D55" s="22">
        <f>D48+D54</f>
        <v>536802.27</v>
      </c>
      <c r="E55" s="22">
        <f>E48+E54</f>
        <v>123267.13</v>
      </c>
      <c r="F55" s="22">
        <f>F48+F54</f>
        <v>451.03</v>
      </c>
      <c r="G55" s="22">
        <f>G48+G54</f>
        <v>32482.02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4">
        <f>'DOE25'!F109</f>
        <v>2072875.05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4">
        <f>'DOE25'!F110</f>
        <v>6937596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4">
        <f>'DOE25'!F111</f>
        <v>795296.95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9805768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1577946.65</v>
      </c>
      <c r="D64" s="24" t="s">
        <v>312</v>
      </c>
      <c r="E64" s="24" t="s">
        <v>312</v>
      </c>
      <c r="F64" s="94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0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593380.11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121590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0</v>
      </c>
      <c r="D69" s="94">
        <f>SUM('DOE25'!G123:G127)</f>
        <v>10740.05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2292916.7599999998</v>
      </c>
      <c r="D70" s="129">
        <f>SUM(D64:D69)</f>
        <v>10740.05</v>
      </c>
      <c r="E70" s="129">
        <f>SUM(E64:E69)</f>
        <v>0</v>
      </c>
      <c r="F70" s="129">
        <f>SUM(F64:F69)</f>
        <v>0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29">
        <f>SUM(C71:C72)+C70+C62</f>
        <v>12098684.76</v>
      </c>
      <c r="D73" s="129">
        <f>SUM(D71:D72)+D70+D62</f>
        <v>10740.05</v>
      </c>
      <c r="E73" s="129">
        <f>SUM(E71:E72)+E70+E62</f>
        <v>0</v>
      </c>
      <c r="F73" s="129">
        <f>SUM(F71:F72)+F70+F62</f>
        <v>0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4">
        <f>'DOE25'!F139</f>
        <v>0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0</v>
      </c>
      <c r="F79" s="94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4">
        <f>SUM('DOE25'!F145:F153)</f>
        <v>167316.14000000001</v>
      </c>
      <c r="D80" s="94">
        <f>SUM('DOE25'!G145:G153)</f>
        <v>151879.5</v>
      </c>
      <c r="E80" s="94">
        <f>SUM('DOE25'!H145:H153)</f>
        <v>990568.46</v>
      </c>
      <c r="F80" s="94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4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0">
        <f>SUM(C77:C82)</f>
        <v>167316.14000000001</v>
      </c>
      <c r="D83" s="130">
        <f>SUM(D77:D82)</f>
        <v>151879.5</v>
      </c>
      <c r="E83" s="130">
        <f>SUM(E77:E82)</f>
        <v>990568.46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4">
        <f>'DOE25'!G171</f>
        <v>82287.839999999997</v>
      </c>
      <c r="E88" s="94">
        <f>'DOE25'!H171</f>
        <v>0</v>
      </c>
      <c r="F88" s="94">
        <f>'DOE25'!I171</f>
        <v>0</v>
      </c>
      <c r="G88" s="94">
        <f>'DOE25'!J171</f>
        <v>125000</v>
      </c>
    </row>
    <row r="89" spans="1:7" x14ac:dyDescent="0.2">
      <c r="A89" t="s">
        <v>790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791</v>
      </c>
      <c r="B90" s="32" t="s">
        <v>212</v>
      </c>
      <c r="C90" s="94">
        <f>'DOE25'!F174</f>
        <v>111152.03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792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5">
        <f>SUM(C85:C94)</f>
        <v>111152.03</v>
      </c>
      <c r="D95" s="85">
        <f>SUM(D85:D94)</f>
        <v>82287.839999999997</v>
      </c>
      <c r="E95" s="85">
        <f>SUM(E85:E94)</f>
        <v>0</v>
      </c>
      <c r="F95" s="85">
        <f>SUM(F85:F94)</f>
        <v>0</v>
      </c>
      <c r="G95" s="85">
        <f>SUM(G85:G94)</f>
        <v>125000</v>
      </c>
    </row>
    <row r="96" spans="1:7" ht="12.75" thickTop="1" thickBot="1" x14ac:dyDescent="0.25">
      <c r="A96" s="33" t="s">
        <v>797</v>
      </c>
      <c r="C96" s="85">
        <f>C55+C73+C83+C95</f>
        <v>33844857.940000005</v>
      </c>
      <c r="D96" s="85">
        <f>D55+D73+D83+D95</f>
        <v>781709.66</v>
      </c>
      <c r="E96" s="85">
        <f>E55+E73+E83+E95</f>
        <v>1113835.5899999999</v>
      </c>
      <c r="F96" s="85">
        <f>F55+F73+F83+F95</f>
        <v>451.03</v>
      </c>
      <c r="G96" s="85">
        <f>G55+G73+G95</f>
        <v>157482.01999999999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13110562.620000001</v>
      </c>
      <c r="D101" s="24" t="s">
        <v>312</v>
      </c>
      <c r="E101" s="94">
        <f>('DOE25'!L268)+('DOE25'!L287)+('DOE25'!L306)</f>
        <v>489858.83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5484437.75</v>
      </c>
      <c r="D102" s="24" t="s">
        <v>312</v>
      </c>
      <c r="E102" s="94">
        <f>('DOE25'!L269)+('DOE25'!L288)+('DOE25'!L307)</f>
        <v>397457.49999999994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12458.85</v>
      </c>
      <c r="D103" s="24" t="s">
        <v>312</v>
      </c>
      <c r="E103" s="94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449084.63</v>
      </c>
      <c r="D104" s="24" t="s">
        <v>312</v>
      </c>
      <c r="E104" s="94">
        <f>+('DOE25'!L271)+('DOE25'!L290)+('DOE25'!L309)</f>
        <v>7510.44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0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15525.28</v>
      </c>
      <c r="D106" s="24" t="s">
        <v>312</v>
      </c>
      <c r="E106" s="94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19072069.130000003</v>
      </c>
      <c r="D107" s="85">
        <f>SUM(D101:D106)</f>
        <v>0</v>
      </c>
      <c r="E107" s="85">
        <f>SUM(E101:E106)</f>
        <v>894826.7699999999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1316551.8900000001</v>
      </c>
      <c r="D110" s="24" t="s">
        <v>312</v>
      </c>
      <c r="E110" s="94">
        <f>+('DOE25'!L273)+('DOE25'!L292)+('DOE25'!L311)</f>
        <v>174556.79999999999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647779.57000000007</v>
      </c>
      <c r="D111" s="24" t="s">
        <v>312</v>
      </c>
      <c r="E111" s="94">
        <f>+('DOE25'!L274)+('DOE25'!L293)+('DOE25'!L312)</f>
        <v>187197.76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1804918.73</v>
      </c>
      <c r="D112" s="24" t="s">
        <v>312</v>
      </c>
      <c r="E112" s="94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1685382.9899999998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0</v>
      </c>
      <c r="D114" s="24" t="s">
        <v>312</v>
      </c>
      <c r="E114" s="94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3006981.79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2240309.5500000003</v>
      </c>
      <c r="D116" s="24" t="s">
        <v>312</v>
      </c>
      <c r="E116" s="94">
        <f>+('DOE25'!L279)+('DOE25'!L298)+('DOE25'!L317)</f>
        <v>776.37999999999988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0</v>
      </c>
      <c r="D117" s="24" t="s">
        <v>312</v>
      </c>
      <c r="E117" s="94">
        <f>+('DOE25'!L280)+('DOE25'!L299)+('DOE25'!L318)</f>
        <v>376283.76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781583.54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10701924.52</v>
      </c>
      <c r="D120" s="85">
        <f>SUM(D110:D119)</f>
        <v>781583.54</v>
      </c>
      <c r="E120" s="85">
        <f>SUM(E110:E119)</f>
        <v>738814.7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0</v>
      </c>
      <c r="D122" s="24" t="s">
        <v>312</v>
      </c>
      <c r="E122" s="128">
        <f>'DOE25'!L328</f>
        <v>0</v>
      </c>
      <c r="F122" s="128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2581781.77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448650.73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0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82287.839999999997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157482.01999999999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4">
        <f>('DOE25'!L258+'DOE25'!K339) - (C130+C131+C132)</f>
        <v>-32482.01999999999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3237720.34</v>
      </c>
      <c r="D136" s="140">
        <f>SUM(D122:D135)</f>
        <v>0</v>
      </c>
      <c r="E136" s="140">
        <f>SUM(E122:E135)</f>
        <v>0</v>
      </c>
      <c r="F136" s="140">
        <f>SUM(F122:F135)</f>
        <v>0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33011713.990000002</v>
      </c>
      <c r="D137" s="85">
        <f>(D107+D120+D136)</f>
        <v>781583.54</v>
      </c>
      <c r="E137" s="85">
        <f>(E107+E120+E136)</f>
        <v>1633641.4699999997</v>
      </c>
      <c r="F137" s="85">
        <f>(F107+F120+F136)</f>
        <v>0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2">
        <f>'DOE25'!F480</f>
        <v>15</v>
      </c>
      <c r="C143" s="152">
        <f>'DOE25'!G480</f>
        <v>10</v>
      </c>
      <c r="D143" s="152">
        <f>'DOE25'!H480</f>
        <v>10</v>
      </c>
      <c r="E143" s="152">
        <f>'DOE25'!I480</f>
        <v>20</v>
      </c>
      <c r="F143" s="152">
        <f>'DOE25'!J480</f>
        <v>0</v>
      </c>
      <c r="G143" s="24" t="s">
        <v>312</v>
      </c>
    </row>
    <row r="144" spans="1:9" x14ac:dyDescent="0.2">
      <c r="A144" s="135" t="s">
        <v>28</v>
      </c>
      <c r="B144" s="151" t="str">
        <f>'DOE25'!F481</f>
        <v>7/96</v>
      </c>
      <c r="C144" s="151" t="str">
        <f>'DOE25'!G481</f>
        <v>8/02</v>
      </c>
      <c r="D144" s="151" t="str">
        <f>'DOE25'!H481</f>
        <v>8/04</v>
      </c>
      <c r="E144" s="151" t="str">
        <f>'DOE25'!I481</f>
        <v>08/06</v>
      </c>
      <c r="F144" s="151">
        <f>'DOE25'!J481</f>
        <v>0</v>
      </c>
      <c r="G144" s="24" t="s">
        <v>312</v>
      </c>
    </row>
    <row r="145" spans="1:7" x14ac:dyDescent="0.2">
      <c r="A145" s="135" t="s">
        <v>29</v>
      </c>
      <c r="B145" s="151" t="str">
        <f>'DOE25'!F482</f>
        <v>8/11</v>
      </c>
      <c r="C145" s="151" t="str">
        <f>'DOE25'!G482</f>
        <v>8/12</v>
      </c>
      <c r="D145" s="151" t="str">
        <f>'DOE25'!H482</f>
        <v>8/14</v>
      </c>
      <c r="E145" s="151" t="str">
        <f>'DOE25'!I482</f>
        <v>08/26</v>
      </c>
      <c r="F145" s="151">
        <f>'DOE25'!J482</f>
        <v>0</v>
      </c>
      <c r="G145" s="24" t="s">
        <v>312</v>
      </c>
    </row>
    <row r="146" spans="1:7" x14ac:dyDescent="0.2">
      <c r="A146" s="135" t="s">
        <v>30</v>
      </c>
      <c r="B146" s="136">
        <f>'DOE25'!F483</f>
        <v>6838167</v>
      </c>
      <c r="C146" s="136">
        <f>'DOE25'!G483</f>
        <v>667500</v>
      </c>
      <c r="D146" s="136">
        <f>'DOE25'!H483</f>
        <v>3259044</v>
      </c>
      <c r="E146" s="136">
        <f>'DOE25'!I483</f>
        <v>24450150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5.75</v>
      </c>
      <c r="C147" s="136">
        <f>'DOE25'!G484</f>
        <v>3.8</v>
      </c>
      <c r="D147" s="136">
        <f>'DOE25'!H484</f>
        <v>3.69</v>
      </c>
      <c r="E147" s="136">
        <f>'DOE25'!I484</f>
        <v>4.6100000000000003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1860000</v>
      </c>
      <c r="C148" s="136">
        <f>'DOE25'!G485</f>
        <v>260000</v>
      </c>
      <c r="D148" s="136">
        <f>'DOE25'!H485</f>
        <v>1609037.68</v>
      </c>
      <c r="E148" s="136">
        <f>'DOE25'!I485</f>
        <v>20311539.920000002</v>
      </c>
      <c r="F148" s="136">
        <f>'DOE25'!J485</f>
        <v>0</v>
      </c>
      <c r="G148" s="137">
        <f>SUM(B148:F148)</f>
        <v>24040577.600000001</v>
      </c>
    </row>
    <row r="149" spans="1:7" x14ac:dyDescent="0.2">
      <c r="A149" s="22" t="s">
        <v>33</v>
      </c>
      <c r="B149" s="136">
        <f>'DOE25'!F486</f>
        <v>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0</v>
      </c>
    </row>
    <row r="150" spans="1:7" x14ac:dyDescent="0.2">
      <c r="A150" s="22" t="s">
        <v>34</v>
      </c>
      <c r="B150" s="136">
        <f>'DOE25'!F487</f>
        <v>585000</v>
      </c>
      <c r="C150" s="136">
        <f>'DOE25'!G487</f>
        <v>65000</v>
      </c>
      <c r="D150" s="136">
        <f>'DOE25'!H487</f>
        <v>302289.27</v>
      </c>
      <c r="E150" s="136">
        <f>'DOE25'!I487</f>
        <v>1629492.5</v>
      </c>
      <c r="F150" s="136">
        <f>'DOE25'!J487</f>
        <v>0</v>
      </c>
      <c r="G150" s="137">
        <f t="shared" si="0"/>
        <v>2581781.77</v>
      </c>
    </row>
    <row r="151" spans="1:7" x14ac:dyDescent="0.2">
      <c r="A151" s="22" t="s">
        <v>35</v>
      </c>
      <c r="B151" s="136">
        <f>'DOE25'!F488</f>
        <v>1275000</v>
      </c>
      <c r="C151" s="136">
        <f>'DOE25'!G488</f>
        <v>195000</v>
      </c>
      <c r="D151" s="136">
        <f>'DOE25'!H488</f>
        <v>1306748.4099999999</v>
      </c>
      <c r="E151" s="136">
        <f>'DOE25'!I488</f>
        <v>18682047.420000002</v>
      </c>
      <c r="F151" s="136">
        <f>'DOE25'!J488</f>
        <v>0</v>
      </c>
      <c r="G151" s="137">
        <f t="shared" si="0"/>
        <v>21458795.830000002</v>
      </c>
    </row>
    <row r="152" spans="1:7" x14ac:dyDescent="0.2">
      <c r="A152" s="22" t="s">
        <v>36</v>
      </c>
      <c r="B152" s="136">
        <f>'DOE25'!F489</f>
        <v>74318.75</v>
      </c>
      <c r="C152" s="136">
        <f>'DOE25'!G489</f>
        <v>11700</v>
      </c>
      <c r="D152" s="136">
        <f>'DOE25'!H489</f>
        <v>637001.59</v>
      </c>
      <c r="E152" s="136">
        <f>'DOE25'!I489</f>
        <v>13470760.109999999</v>
      </c>
      <c r="F152" s="136">
        <f>'DOE25'!J489</f>
        <v>0</v>
      </c>
      <c r="G152" s="137">
        <f t="shared" si="0"/>
        <v>14193780.449999999</v>
      </c>
    </row>
    <row r="153" spans="1:7" x14ac:dyDescent="0.2">
      <c r="A153" s="22" t="s">
        <v>37</v>
      </c>
      <c r="B153" s="136">
        <f>'DOE25'!F490</f>
        <v>1349318.75</v>
      </c>
      <c r="C153" s="136">
        <f>'DOE25'!G490</f>
        <v>206700</v>
      </c>
      <c r="D153" s="136">
        <f>'DOE25'!H490</f>
        <v>1943750</v>
      </c>
      <c r="E153" s="136">
        <f>'DOE25'!I490</f>
        <v>32152807.530000001</v>
      </c>
      <c r="F153" s="136">
        <f>'DOE25'!J490</f>
        <v>0</v>
      </c>
      <c r="G153" s="137">
        <f t="shared" si="0"/>
        <v>35652576.280000001</v>
      </c>
    </row>
    <row r="154" spans="1:7" x14ac:dyDescent="0.2">
      <c r="A154" s="22" t="s">
        <v>38</v>
      </c>
      <c r="B154" s="136">
        <f>'DOE25'!F491</f>
        <v>620000</v>
      </c>
      <c r="C154" s="136">
        <f>'DOE25'!G491</f>
        <v>65000</v>
      </c>
      <c r="D154" s="136">
        <f>'DOE25'!H491</f>
        <v>287137.46000000002</v>
      </c>
      <c r="E154" s="136">
        <f>'DOE25'!I491</f>
        <v>1552870.64</v>
      </c>
      <c r="F154" s="136">
        <f>'DOE25'!J491</f>
        <v>0</v>
      </c>
      <c r="G154" s="137">
        <f t="shared" si="0"/>
        <v>2525008.0999999996</v>
      </c>
    </row>
    <row r="155" spans="1:7" x14ac:dyDescent="0.2">
      <c r="A155" s="22" t="s">
        <v>39</v>
      </c>
      <c r="B155" s="136">
        <f>'DOE25'!F492</f>
        <v>55487.5</v>
      </c>
      <c r="C155" s="136">
        <f>'DOE25'!G492</f>
        <v>6500</v>
      </c>
      <c r="D155" s="136">
        <f>'DOE25'!H492</f>
        <v>101112.54</v>
      </c>
      <c r="E155" s="136">
        <f>'DOE25'!I492</f>
        <v>337051.86</v>
      </c>
      <c r="F155" s="136">
        <f>'DOE25'!J492</f>
        <v>0</v>
      </c>
      <c r="G155" s="137">
        <f t="shared" si="0"/>
        <v>500151.89999999997</v>
      </c>
    </row>
    <row r="156" spans="1:7" x14ac:dyDescent="0.2">
      <c r="A156" s="22" t="s">
        <v>269</v>
      </c>
      <c r="B156" s="136">
        <f>'DOE25'!F493</f>
        <v>675487.5</v>
      </c>
      <c r="C156" s="136">
        <f>'DOE25'!G493</f>
        <v>71500</v>
      </c>
      <c r="D156" s="136">
        <f>'DOE25'!H493</f>
        <v>388250</v>
      </c>
      <c r="E156" s="136">
        <f>'DOE25'!I493</f>
        <v>1889922.5</v>
      </c>
      <c r="F156" s="136">
        <f>'DOE25'!J493</f>
        <v>0</v>
      </c>
      <c r="G156" s="137">
        <f t="shared" si="0"/>
        <v>3025160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D442-EF34-453C-A35D-355181D15303}">
  <sheetPr codeName="Sheet3">
    <tabColor indexed="43"/>
  </sheetPr>
  <dimension ref="A1:D42"/>
  <sheetViews>
    <sheetView topLeftCell="A28" workbookViewId="0">
      <selection activeCell="E70" sqref="E7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772</v>
      </c>
      <c r="B1" s="282"/>
      <c r="C1" s="282"/>
      <c r="D1" s="282"/>
    </row>
    <row r="2" spans="1:4" x14ac:dyDescent="0.2">
      <c r="A2" s="186" t="s">
        <v>748</v>
      </c>
      <c r="B2" s="185" t="str">
        <f>'DOE25'!A2</f>
        <v>Kearsarge Reg SD</v>
      </c>
    </row>
    <row r="3" spans="1:4" x14ac:dyDescent="0.2">
      <c r="B3" s="187" t="s">
        <v>890</v>
      </c>
    </row>
    <row r="4" spans="1:4" x14ac:dyDescent="0.2">
      <c r="B4" t="s">
        <v>61</v>
      </c>
      <c r="C4" s="178">
        <f>IF('DOE25'!F655+'DOE25'!F660=0,0,ROUND('DOE25'!F662,0))</f>
        <v>14172</v>
      </c>
    </row>
    <row r="5" spans="1:4" x14ac:dyDescent="0.2">
      <c r="B5" t="s">
        <v>735</v>
      </c>
      <c r="C5" s="178">
        <f>IF('DOE25'!G655+'DOE25'!G660=0,0,ROUND('DOE25'!G662,0))</f>
        <v>16053</v>
      </c>
    </row>
    <row r="6" spans="1:4" x14ac:dyDescent="0.2">
      <c r="B6" t="s">
        <v>62</v>
      </c>
      <c r="C6" s="178">
        <f>IF('DOE25'!H655+'DOE25'!H660=0,0,ROUND('DOE25'!H662,0))</f>
        <v>13545</v>
      </c>
    </row>
    <row r="7" spans="1:4" x14ac:dyDescent="0.2">
      <c r="B7" t="s">
        <v>736</v>
      </c>
      <c r="C7" s="178">
        <f>IF('DOE25'!I655+'DOE25'!I660=0,0,ROUND('DOE25'!I662,0))</f>
        <v>14416</v>
      </c>
    </row>
    <row r="9" spans="1:4" x14ac:dyDescent="0.2">
      <c r="A9" s="186" t="s">
        <v>94</v>
      </c>
      <c r="B9" s="187" t="s">
        <v>891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13600421</v>
      </c>
      <c r="D10" s="181">
        <f>ROUND((C10/$C$28)*100,1)</f>
        <v>42.4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5881895</v>
      </c>
      <c r="D11" s="181">
        <f>ROUND((C11/$C$28)*100,1)</f>
        <v>18.3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12459</v>
      </c>
      <c r="D12" s="181">
        <f>ROUND((C12/$C$28)*100,1)</f>
        <v>0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456595</v>
      </c>
      <c r="D13" s="181">
        <f>ROUND((C13/$C$28)*100,1)</f>
        <v>1.4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1491109</v>
      </c>
      <c r="D15" s="181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834977</v>
      </c>
      <c r="D16" s="181">
        <f t="shared" si="0"/>
        <v>2.6</v>
      </c>
    </row>
    <row r="17" spans="1:4" x14ac:dyDescent="0.2">
      <c r="A17" s="182" t="s">
        <v>758</v>
      </c>
      <c r="B17" t="s">
        <v>774</v>
      </c>
      <c r="C17" s="178">
        <f>ROUND('DOE25'!L196+'DOE25'!L201+'DOE25'!L214+'DOE25'!L219+'DOE25'!L232+'DOE25'!L237+'DOE25'!L275+'DOE25'!L280+'DOE25'!L294+'DOE25'!L299+'DOE25'!L313+'DOE25'!L318,0)</f>
        <v>2181202</v>
      </c>
      <c r="D17" s="181">
        <f t="shared" si="0"/>
        <v>6.8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1685383</v>
      </c>
      <c r="D18" s="181">
        <f t="shared" si="0"/>
        <v>5.3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0</v>
      </c>
      <c r="D19" s="181">
        <f t="shared" si="0"/>
        <v>0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3006982</v>
      </c>
      <c r="D20" s="181">
        <f t="shared" si="0"/>
        <v>9.4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2241086</v>
      </c>
      <c r="D21" s="181">
        <f t="shared" si="0"/>
        <v>7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15525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448651</v>
      </c>
      <c r="D25" s="181">
        <f t="shared" si="0"/>
        <v>1.4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245794.97999999998</v>
      </c>
      <c r="D27" s="181">
        <f t="shared" si="0"/>
        <v>0.8</v>
      </c>
    </row>
    <row r="28" spans="1:4" x14ac:dyDescent="0.2">
      <c r="B28" s="186" t="s">
        <v>754</v>
      </c>
      <c r="C28" s="179">
        <f>SUM(C10:C27)</f>
        <v>32102079.98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0</v>
      </c>
    </row>
    <row r="30" spans="1:4" x14ac:dyDescent="0.2">
      <c r="B30" s="186" t="s">
        <v>760</v>
      </c>
      <c r="C30" s="179">
        <f>SUM(C28:C29)</f>
        <v>32102079.98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2581782</v>
      </c>
    </row>
    <row r="34" spans="1:4" x14ac:dyDescent="0.2">
      <c r="A34" s="186" t="s">
        <v>94</v>
      </c>
      <c r="B34" s="187" t="s">
        <v>892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21196396</v>
      </c>
      <c r="D35" s="181">
        <f t="shared" ref="D35:D40" si="1">ROUND((C35/$C$41)*100,1)</f>
        <v>60.5</v>
      </c>
    </row>
    <row r="36" spans="1:4" x14ac:dyDescent="0.2">
      <c r="B36" s="184" t="s">
        <v>775</v>
      </c>
      <c r="C36" s="178">
        <f>SUM('DOE25'!F104:J104)-SUM('DOE25'!G89:G102)+('DOE25'!F166+'DOE25'!F167+'DOE25'!I166+'DOE25'!I167)-C35</f>
        <v>428522.43999999762</v>
      </c>
      <c r="D36" s="181">
        <f t="shared" si="1"/>
        <v>1.2</v>
      </c>
    </row>
    <row r="37" spans="1:4" x14ac:dyDescent="0.2">
      <c r="A37" s="182" t="s">
        <v>763</v>
      </c>
      <c r="B37" s="184" t="s">
        <v>764</v>
      </c>
      <c r="C37" s="178">
        <f>ROUND('DOE25'!F109+'DOE25'!F110,0)</f>
        <v>9010471</v>
      </c>
      <c r="D37" s="181">
        <f t="shared" si="1"/>
        <v>25.7</v>
      </c>
    </row>
    <row r="38" spans="1:4" x14ac:dyDescent="0.2">
      <c r="A38" s="182" t="s">
        <v>770</v>
      </c>
      <c r="B38" s="184" t="s">
        <v>765</v>
      </c>
      <c r="C38" s="178">
        <f>ROUND(SUM('DOE25'!F132:J132)-SUM('DOE25'!F109:F110),0)</f>
        <v>3098954</v>
      </c>
      <c r="D38" s="181">
        <f t="shared" si="1"/>
        <v>8.8000000000000007</v>
      </c>
    </row>
    <row r="39" spans="1:4" x14ac:dyDescent="0.2">
      <c r="A39">
        <v>4000</v>
      </c>
      <c r="B39" s="184" t="s">
        <v>766</v>
      </c>
      <c r="C39" s="178">
        <f>ROUND('DOE25'!F161+'DOE25'!G161+'DOE25'!H161+'DOE25'!I161,0)</f>
        <v>1309764</v>
      </c>
      <c r="D39" s="181">
        <f t="shared" si="1"/>
        <v>3.7</v>
      </c>
    </row>
    <row r="40" spans="1:4" x14ac:dyDescent="0.2">
      <c r="A40" s="182" t="s">
        <v>771</v>
      </c>
      <c r="B40" s="184" t="s">
        <v>767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768</v>
      </c>
      <c r="C41" s="179">
        <f>SUM(C35:C40)</f>
        <v>35044107.439999998</v>
      </c>
      <c r="D41" s="183">
        <f>SUM(D35:D40)</f>
        <v>99.9</v>
      </c>
    </row>
    <row r="42" spans="1:4" x14ac:dyDescent="0.2">
      <c r="A42" s="182" t="s">
        <v>773</v>
      </c>
      <c r="B42" s="184" t="s">
        <v>769</v>
      </c>
      <c r="C42" s="178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E102-1221-4730-A388-29170ACF83C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802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89" t="s">
        <v>799</v>
      </c>
      <c r="B2" s="290"/>
      <c r="C2" s="290"/>
      <c r="D2" s="290"/>
      <c r="E2" s="290"/>
      <c r="F2" s="295" t="str">
        <f>'DOE25'!A2</f>
        <v>Kearsarge Reg SD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800</v>
      </c>
      <c r="B3" s="217" t="s">
        <v>801</v>
      </c>
      <c r="C3" s="293" t="s">
        <v>803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7"/>
      <c r="AB29" s="207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07"/>
      <c r="AO29" s="207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07"/>
      <c r="BB29" s="207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07"/>
      <c r="BO29" s="207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07"/>
      <c r="CB29" s="207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07"/>
      <c r="CO29" s="207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07"/>
      <c r="DB29" s="207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07"/>
      <c r="DO29" s="207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07"/>
      <c r="EB29" s="207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  <c r="EM29" s="298"/>
      <c r="EN29" s="207"/>
      <c r="EO29" s="207"/>
      <c r="EP29" s="298"/>
      <c r="EQ29" s="298"/>
      <c r="ER29" s="298"/>
      <c r="ES29" s="298"/>
      <c r="ET29" s="298"/>
      <c r="EU29" s="298"/>
      <c r="EV29" s="298"/>
      <c r="EW29" s="298"/>
      <c r="EX29" s="298"/>
      <c r="EY29" s="298"/>
      <c r="EZ29" s="298"/>
      <c r="FA29" s="207"/>
      <c r="FB29" s="207"/>
      <c r="FC29" s="298"/>
      <c r="FD29" s="298"/>
      <c r="FE29" s="298"/>
      <c r="FF29" s="298"/>
      <c r="FG29" s="298"/>
      <c r="FH29" s="298"/>
      <c r="FI29" s="298"/>
      <c r="FJ29" s="298"/>
      <c r="FK29" s="298"/>
      <c r="FL29" s="298"/>
      <c r="FM29" s="298"/>
      <c r="FN29" s="207"/>
      <c r="FO29" s="207"/>
      <c r="FP29" s="298"/>
      <c r="FQ29" s="298"/>
      <c r="FR29" s="298"/>
      <c r="FS29" s="298"/>
      <c r="FT29" s="298"/>
      <c r="FU29" s="298"/>
      <c r="FV29" s="298"/>
      <c r="FW29" s="298"/>
      <c r="FX29" s="298"/>
      <c r="FY29" s="298"/>
      <c r="FZ29" s="298"/>
      <c r="GA29" s="207"/>
      <c r="GB29" s="207"/>
      <c r="GC29" s="298"/>
      <c r="GD29" s="298"/>
      <c r="GE29" s="298"/>
      <c r="GF29" s="298"/>
      <c r="GG29" s="298"/>
      <c r="GH29" s="298"/>
      <c r="GI29" s="298"/>
      <c r="GJ29" s="298"/>
      <c r="GK29" s="298"/>
      <c r="GL29" s="298"/>
      <c r="GM29" s="298"/>
      <c r="GN29" s="207"/>
      <c r="GO29" s="207"/>
      <c r="GP29" s="298"/>
      <c r="GQ29" s="298"/>
      <c r="GR29" s="298"/>
      <c r="GS29" s="298"/>
      <c r="GT29" s="298"/>
      <c r="GU29" s="298"/>
      <c r="GV29" s="298"/>
      <c r="GW29" s="298"/>
      <c r="GX29" s="298"/>
      <c r="GY29" s="298"/>
      <c r="GZ29" s="298"/>
      <c r="HA29" s="207"/>
      <c r="HB29" s="207"/>
      <c r="HC29" s="298"/>
      <c r="HD29" s="298"/>
      <c r="HE29" s="298"/>
      <c r="HF29" s="298"/>
      <c r="HG29" s="298"/>
      <c r="HH29" s="298"/>
      <c r="HI29" s="298"/>
      <c r="HJ29" s="298"/>
      <c r="HK29" s="298"/>
      <c r="HL29" s="298"/>
      <c r="HM29" s="298"/>
      <c r="HN29" s="207"/>
      <c r="HO29" s="207"/>
      <c r="HP29" s="298"/>
      <c r="HQ29" s="298"/>
      <c r="HR29" s="298"/>
      <c r="HS29" s="298"/>
      <c r="HT29" s="298"/>
      <c r="HU29" s="298"/>
      <c r="HV29" s="298"/>
      <c r="HW29" s="298"/>
      <c r="HX29" s="298"/>
      <c r="HY29" s="298"/>
      <c r="HZ29" s="298"/>
      <c r="IA29" s="207"/>
      <c r="IB29" s="207"/>
      <c r="IC29" s="298"/>
      <c r="ID29" s="298"/>
      <c r="IE29" s="298"/>
      <c r="IF29" s="298"/>
      <c r="IG29" s="298"/>
      <c r="IH29" s="298"/>
      <c r="II29" s="298"/>
      <c r="IJ29" s="298"/>
      <c r="IK29" s="298"/>
      <c r="IL29" s="298"/>
      <c r="IM29" s="298"/>
      <c r="IN29" s="207"/>
      <c r="IO29" s="207"/>
      <c r="IP29" s="298"/>
      <c r="IQ29" s="298"/>
      <c r="IR29" s="298"/>
      <c r="IS29" s="298"/>
      <c r="IT29" s="298"/>
      <c r="IU29" s="298"/>
      <c r="IV29" s="29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7"/>
      <c r="AB30" s="207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07"/>
      <c r="AO30" s="207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07"/>
      <c r="BB30" s="207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07"/>
      <c r="BO30" s="207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07"/>
      <c r="CB30" s="207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07"/>
      <c r="CO30" s="207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07"/>
      <c r="DB30" s="207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07"/>
      <c r="DO30" s="207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07"/>
      <c r="EB30" s="207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  <c r="EM30" s="298"/>
      <c r="EN30" s="207"/>
      <c r="EO30" s="207"/>
      <c r="EP30" s="298"/>
      <c r="EQ30" s="298"/>
      <c r="ER30" s="298"/>
      <c r="ES30" s="298"/>
      <c r="ET30" s="298"/>
      <c r="EU30" s="298"/>
      <c r="EV30" s="298"/>
      <c r="EW30" s="298"/>
      <c r="EX30" s="298"/>
      <c r="EY30" s="298"/>
      <c r="EZ30" s="298"/>
      <c r="FA30" s="207"/>
      <c r="FB30" s="207"/>
      <c r="FC30" s="298"/>
      <c r="FD30" s="298"/>
      <c r="FE30" s="298"/>
      <c r="FF30" s="298"/>
      <c r="FG30" s="298"/>
      <c r="FH30" s="298"/>
      <c r="FI30" s="298"/>
      <c r="FJ30" s="298"/>
      <c r="FK30" s="298"/>
      <c r="FL30" s="298"/>
      <c r="FM30" s="298"/>
      <c r="FN30" s="207"/>
      <c r="FO30" s="207"/>
      <c r="FP30" s="298"/>
      <c r="FQ30" s="298"/>
      <c r="FR30" s="298"/>
      <c r="FS30" s="298"/>
      <c r="FT30" s="298"/>
      <c r="FU30" s="298"/>
      <c r="FV30" s="298"/>
      <c r="FW30" s="298"/>
      <c r="FX30" s="298"/>
      <c r="FY30" s="298"/>
      <c r="FZ30" s="298"/>
      <c r="GA30" s="207"/>
      <c r="GB30" s="207"/>
      <c r="GC30" s="298"/>
      <c r="GD30" s="298"/>
      <c r="GE30" s="298"/>
      <c r="GF30" s="298"/>
      <c r="GG30" s="298"/>
      <c r="GH30" s="298"/>
      <c r="GI30" s="298"/>
      <c r="GJ30" s="298"/>
      <c r="GK30" s="298"/>
      <c r="GL30" s="298"/>
      <c r="GM30" s="298"/>
      <c r="GN30" s="207"/>
      <c r="GO30" s="207"/>
      <c r="GP30" s="298"/>
      <c r="GQ30" s="298"/>
      <c r="GR30" s="298"/>
      <c r="GS30" s="298"/>
      <c r="GT30" s="298"/>
      <c r="GU30" s="298"/>
      <c r="GV30" s="298"/>
      <c r="GW30" s="298"/>
      <c r="GX30" s="298"/>
      <c r="GY30" s="298"/>
      <c r="GZ30" s="298"/>
      <c r="HA30" s="207"/>
      <c r="HB30" s="207"/>
      <c r="HC30" s="298"/>
      <c r="HD30" s="298"/>
      <c r="HE30" s="298"/>
      <c r="HF30" s="298"/>
      <c r="HG30" s="298"/>
      <c r="HH30" s="298"/>
      <c r="HI30" s="298"/>
      <c r="HJ30" s="298"/>
      <c r="HK30" s="298"/>
      <c r="HL30" s="298"/>
      <c r="HM30" s="298"/>
      <c r="HN30" s="207"/>
      <c r="HO30" s="207"/>
      <c r="HP30" s="298"/>
      <c r="HQ30" s="298"/>
      <c r="HR30" s="298"/>
      <c r="HS30" s="298"/>
      <c r="HT30" s="298"/>
      <c r="HU30" s="298"/>
      <c r="HV30" s="298"/>
      <c r="HW30" s="298"/>
      <c r="HX30" s="298"/>
      <c r="HY30" s="298"/>
      <c r="HZ30" s="298"/>
      <c r="IA30" s="207"/>
      <c r="IB30" s="207"/>
      <c r="IC30" s="298"/>
      <c r="ID30" s="298"/>
      <c r="IE30" s="298"/>
      <c r="IF30" s="298"/>
      <c r="IG30" s="298"/>
      <c r="IH30" s="298"/>
      <c r="II30" s="298"/>
      <c r="IJ30" s="298"/>
      <c r="IK30" s="298"/>
      <c r="IL30" s="298"/>
      <c r="IM30" s="298"/>
      <c r="IN30" s="207"/>
      <c r="IO30" s="207"/>
      <c r="IP30" s="298"/>
      <c r="IQ30" s="298"/>
      <c r="IR30" s="298"/>
      <c r="IS30" s="298"/>
      <c r="IT30" s="298"/>
      <c r="IU30" s="298"/>
      <c r="IV30" s="29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7"/>
      <c r="AB31" s="207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07"/>
      <c r="AO31" s="207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07"/>
      <c r="BB31" s="207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07"/>
      <c r="BO31" s="207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07"/>
      <c r="CB31" s="207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07"/>
      <c r="CO31" s="207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07"/>
      <c r="DB31" s="207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07"/>
      <c r="DO31" s="207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07"/>
      <c r="EB31" s="207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  <c r="EM31" s="298"/>
      <c r="EN31" s="207"/>
      <c r="EO31" s="207"/>
      <c r="EP31" s="298"/>
      <c r="EQ31" s="298"/>
      <c r="ER31" s="298"/>
      <c r="ES31" s="298"/>
      <c r="ET31" s="298"/>
      <c r="EU31" s="298"/>
      <c r="EV31" s="298"/>
      <c r="EW31" s="298"/>
      <c r="EX31" s="298"/>
      <c r="EY31" s="298"/>
      <c r="EZ31" s="298"/>
      <c r="FA31" s="207"/>
      <c r="FB31" s="207"/>
      <c r="FC31" s="298"/>
      <c r="FD31" s="298"/>
      <c r="FE31" s="298"/>
      <c r="FF31" s="298"/>
      <c r="FG31" s="298"/>
      <c r="FH31" s="298"/>
      <c r="FI31" s="298"/>
      <c r="FJ31" s="298"/>
      <c r="FK31" s="298"/>
      <c r="FL31" s="298"/>
      <c r="FM31" s="298"/>
      <c r="FN31" s="207"/>
      <c r="FO31" s="207"/>
      <c r="FP31" s="298"/>
      <c r="FQ31" s="298"/>
      <c r="FR31" s="298"/>
      <c r="FS31" s="298"/>
      <c r="FT31" s="298"/>
      <c r="FU31" s="298"/>
      <c r="FV31" s="298"/>
      <c r="FW31" s="298"/>
      <c r="FX31" s="298"/>
      <c r="FY31" s="298"/>
      <c r="FZ31" s="298"/>
      <c r="GA31" s="207"/>
      <c r="GB31" s="207"/>
      <c r="GC31" s="298"/>
      <c r="GD31" s="298"/>
      <c r="GE31" s="298"/>
      <c r="GF31" s="298"/>
      <c r="GG31" s="298"/>
      <c r="GH31" s="298"/>
      <c r="GI31" s="298"/>
      <c r="GJ31" s="298"/>
      <c r="GK31" s="298"/>
      <c r="GL31" s="298"/>
      <c r="GM31" s="298"/>
      <c r="GN31" s="207"/>
      <c r="GO31" s="207"/>
      <c r="GP31" s="298"/>
      <c r="GQ31" s="298"/>
      <c r="GR31" s="298"/>
      <c r="GS31" s="298"/>
      <c r="GT31" s="298"/>
      <c r="GU31" s="298"/>
      <c r="GV31" s="298"/>
      <c r="GW31" s="298"/>
      <c r="GX31" s="298"/>
      <c r="GY31" s="298"/>
      <c r="GZ31" s="298"/>
      <c r="HA31" s="207"/>
      <c r="HB31" s="207"/>
      <c r="HC31" s="298"/>
      <c r="HD31" s="298"/>
      <c r="HE31" s="298"/>
      <c r="HF31" s="298"/>
      <c r="HG31" s="298"/>
      <c r="HH31" s="298"/>
      <c r="HI31" s="298"/>
      <c r="HJ31" s="298"/>
      <c r="HK31" s="298"/>
      <c r="HL31" s="298"/>
      <c r="HM31" s="298"/>
      <c r="HN31" s="207"/>
      <c r="HO31" s="207"/>
      <c r="HP31" s="298"/>
      <c r="HQ31" s="298"/>
      <c r="HR31" s="298"/>
      <c r="HS31" s="298"/>
      <c r="HT31" s="298"/>
      <c r="HU31" s="298"/>
      <c r="HV31" s="298"/>
      <c r="HW31" s="298"/>
      <c r="HX31" s="298"/>
      <c r="HY31" s="298"/>
      <c r="HZ31" s="298"/>
      <c r="IA31" s="207"/>
      <c r="IB31" s="207"/>
      <c r="IC31" s="298"/>
      <c r="ID31" s="298"/>
      <c r="IE31" s="298"/>
      <c r="IF31" s="298"/>
      <c r="IG31" s="298"/>
      <c r="IH31" s="298"/>
      <c r="II31" s="298"/>
      <c r="IJ31" s="298"/>
      <c r="IK31" s="298"/>
      <c r="IL31" s="298"/>
      <c r="IM31" s="298"/>
      <c r="IN31" s="207"/>
      <c r="IO31" s="207"/>
      <c r="IP31" s="298"/>
      <c r="IQ31" s="298"/>
      <c r="IR31" s="298"/>
      <c r="IS31" s="298"/>
      <c r="IT31" s="298"/>
      <c r="IU31" s="298"/>
      <c r="IV31" s="29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7"/>
      <c r="AB38" s="207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07"/>
      <c r="AO38" s="207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07"/>
      <c r="BB38" s="207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07"/>
      <c r="BO38" s="207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07"/>
      <c r="CB38" s="207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07"/>
      <c r="CO38" s="207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07"/>
      <c r="DB38" s="207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07"/>
      <c r="DO38" s="207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07"/>
      <c r="EB38" s="207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  <c r="EM38" s="298"/>
      <c r="EN38" s="207"/>
      <c r="EO38" s="207"/>
      <c r="EP38" s="298"/>
      <c r="EQ38" s="298"/>
      <c r="ER38" s="298"/>
      <c r="ES38" s="298"/>
      <c r="ET38" s="298"/>
      <c r="EU38" s="298"/>
      <c r="EV38" s="298"/>
      <c r="EW38" s="298"/>
      <c r="EX38" s="298"/>
      <c r="EY38" s="298"/>
      <c r="EZ38" s="298"/>
      <c r="FA38" s="207"/>
      <c r="FB38" s="207"/>
      <c r="FC38" s="298"/>
      <c r="FD38" s="298"/>
      <c r="FE38" s="298"/>
      <c r="FF38" s="298"/>
      <c r="FG38" s="298"/>
      <c r="FH38" s="298"/>
      <c r="FI38" s="298"/>
      <c r="FJ38" s="298"/>
      <c r="FK38" s="298"/>
      <c r="FL38" s="298"/>
      <c r="FM38" s="298"/>
      <c r="FN38" s="207"/>
      <c r="FO38" s="207"/>
      <c r="FP38" s="298"/>
      <c r="FQ38" s="298"/>
      <c r="FR38" s="298"/>
      <c r="FS38" s="298"/>
      <c r="FT38" s="298"/>
      <c r="FU38" s="298"/>
      <c r="FV38" s="298"/>
      <c r="FW38" s="298"/>
      <c r="FX38" s="298"/>
      <c r="FY38" s="298"/>
      <c r="FZ38" s="298"/>
      <c r="GA38" s="207"/>
      <c r="GB38" s="207"/>
      <c r="GC38" s="298"/>
      <c r="GD38" s="298"/>
      <c r="GE38" s="298"/>
      <c r="GF38" s="298"/>
      <c r="GG38" s="298"/>
      <c r="GH38" s="298"/>
      <c r="GI38" s="298"/>
      <c r="GJ38" s="298"/>
      <c r="GK38" s="298"/>
      <c r="GL38" s="298"/>
      <c r="GM38" s="298"/>
      <c r="GN38" s="207"/>
      <c r="GO38" s="207"/>
      <c r="GP38" s="298"/>
      <c r="GQ38" s="298"/>
      <c r="GR38" s="298"/>
      <c r="GS38" s="298"/>
      <c r="GT38" s="298"/>
      <c r="GU38" s="298"/>
      <c r="GV38" s="298"/>
      <c r="GW38" s="298"/>
      <c r="GX38" s="298"/>
      <c r="GY38" s="298"/>
      <c r="GZ38" s="298"/>
      <c r="HA38" s="207"/>
      <c r="HB38" s="207"/>
      <c r="HC38" s="298"/>
      <c r="HD38" s="298"/>
      <c r="HE38" s="298"/>
      <c r="HF38" s="298"/>
      <c r="HG38" s="298"/>
      <c r="HH38" s="298"/>
      <c r="HI38" s="298"/>
      <c r="HJ38" s="298"/>
      <c r="HK38" s="298"/>
      <c r="HL38" s="298"/>
      <c r="HM38" s="298"/>
      <c r="HN38" s="207"/>
      <c r="HO38" s="207"/>
      <c r="HP38" s="298"/>
      <c r="HQ38" s="298"/>
      <c r="HR38" s="298"/>
      <c r="HS38" s="298"/>
      <c r="HT38" s="298"/>
      <c r="HU38" s="298"/>
      <c r="HV38" s="298"/>
      <c r="HW38" s="298"/>
      <c r="HX38" s="298"/>
      <c r="HY38" s="298"/>
      <c r="HZ38" s="298"/>
      <c r="IA38" s="207"/>
      <c r="IB38" s="207"/>
      <c r="IC38" s="298"/>
      <c r="ID38" s="298"/>
      <c r="IE38" s="298"/>
      <c r="IF38" s="298"/>
      <c r="IG38" s="298"/>
      <c r="IH38" s="298"/>
      <c r="II38" s="298"/>
      <c r="IJ38" s="298"/>
      <c r="IK38" s="298"/>
      <c r="IL38" s="298"/>
      <c r="IM38" s="298"/>
      <c r="IN38" s="207"/>
      <c r="IO38" s="207"/>
      <c r="IP38" s="298"/>
      <c r="IQ38" s="298"/>
      <c r="IR38" s="298"/>
      <c r="IS38" s="298"/>
      <c r="IT38" s="298"/>
      <c r="IU38" s="298"/>
      <c r="IV38" s="29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7"/>
      <c r="AB39" s="207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07"/>
      <c r="AO39" s="207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07"/>
      <c r="BB39" s="207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07"/>
      <c r="BO39" s="207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07"/>
      <c r="CB39" s="207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07"/>
      <c r="CO39" s="207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07"/>
      <c r="DB39" s="207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07"/>
      <c r="DO39" s="207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07"/>
      <c r="EB39" s="207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  <c r="EM39" s="298"/>
      <c r="EN39" s="207"/>
      <c r="EO39" s="207"/>
      <c r="EP39" s="298"/>
      <c r="EQ39" s="298"/>
      <c r="ER39" s="298"/>
      <c r="ES39" s="298"/>
      <c r="ET39" s="298"/>
      <c r="EU39" s="298"/>
      <c r="EV39" s="298"/>
      <c r="EW39" s="298"/>
      <c r="EX39" s="298"/>
      <c r="EY39" s="298"/>
      <c r="EZ39" s="298"/>
      <c r="FA39" s="207"/>
      <c r="FB39" s="207"/>
      <c r="FC39" s="298"/>
      <c r="FD39" s="298"/>
      <c r="FE39" s="298"/>
      <c r="FF39" s="298"/>
      <c r="FG39" s="298"/>
      <c r="FH39" s="298"/>
      <c r="FI39" s="298"/>
      <c r="FJ39" s="298"/>
      <c r="FK39" s="298"/>
      <c r="FL39" s="298"/>
      <c r="FM39" s="298"/>
      <c r="FN39" s="207"/>
      <c r="FO39" s="207"/>
      <c r="FP39" s="298"/>
      <c r="FQ39" s="298"/>
      <c r="FR39" s="298"/>
      <c r="FS39" s="298"/>
      <c r="FT39" s="298"/>
      <c r="FU39" s="298"/>
      <c r="FV39" s="298"/>
      <c r="FW39" s="298"/>
      <c r="FX39" s="298"/>
      <c r="FY39" s="298"/>
      <c r="FZ39" s="298"/>
      <c r="GA39" s="207"/>
      <c r="GB39" s="207"/>
      <c r="GC39" s="298"/>
      <c r="GD39" s="298"/>
      <c r="GE39" s="298"/>
      <c r="GF39" s="298"/>
      <c r="GG39" s="298"/>
      <c r="GH39" s="298"/>
      <c r="GI39" s="298"/>
      <c r="GJ39" s="298"/>
      <c r="GK39" s="298"/>
      <c r="GL39" s="298"/>
      <c r="GM39" s="298"/>
      <c r="GN39" s="207"/>
      <c r="GO39" s="207"/>
      <c r="GP39" s="298"/>
      <c r="GQ39" s="298"/>
      <c r="GR39" s="298"/>
      <c r="GS39" s="298"/>
      <c r="GT39" s="298"/>
      <c r="GU39" s="298"/>
      <c r="GV39" s="298"/>
      <c r="GW39" s="298"/>
      <c r="GX39" s="298"/>
      <c r="GY39" s="298"/>
      <c r="GZ39" s="298"/>
      <c r="HA39" s="207"/>
      <c r="HB39" s="207"/>
      <c r="HC39" s="298"/>
      <c r="HD39" s="298"/>
      <c r="HE39" s="298"/>
      <c r="HF39" s="298"/>
      <c r="HG39" s="298"/>
      <c r="HH39" s="298"/>
      <c r="HI39" s="298"/>
      <c r="HJ39" s="298"/>
      <c r="HK39" s="298"/>
      <c r="HL39" s="298"/>
      <c r="HM39" s="298"/>
      <c r="HN39" s="207"/>
      <c r="HO39" s="207"/>
      <c r="HP39" s="298"/>
      <c r="HQ39" s="298"/>
      <c r="HR39" s="298"/>
      <c r="HS39" s="298"/>
      <c r="HT39" s="298"/>
      <c r="HU39" s="298"/>
      <c r="HV39" s="298"/>
      <c r="HW39" s="298"/>
      <c r="HX39" s="298"/>
      <c r="HY39" s="298"/>
      <c r="HZ39" s="298"/>
      <c r="IA39" s="207"/>
      <c r="IB39" s="207"/>
      <c r="IC39" s="298"/>
      <c r="ID39" s="298"/>
      <c r="IE39" s="298"/>
      <c r="IF39" s="298"/>
      <c r="IG39" s="298"/>
      <c r="IH39" s="298"/>
      <c r="II39" s="298"/>
      <c r="IJ39" s="298"/>
      <c r="IK39" s="298"/>
      <c r="IL39" s="298"/>
      <c r="IM39" s="298"/>
      <c r="IN39" s="207"/>
      <c r="IO39" s="207"/>
      <c r="IP39" s="298"/>
      <c r="IQ39" s="298"/>
      <c r="IR39" s="298"/>
      <c r="IS39" s="298"/>
      <c r="IT39" s="298"/>
      <c r="IU39" s="298"/>
      <c r="IV39" s="29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7"/>
      <c r="AB40" s="207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07"/>
      <c r="AO40" s="207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07"/>
      <c r="BB40" s="207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07"/>
      <c r="BO40" s="207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07"/>
      <c r="CB40" s="207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07"/>
      <c r="CO40" s="207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07"/>
      <c r="DB40" s="207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07"/>
      <c r="DO40" s="207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07"/>
      <c r="EB40" s="207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  <c r="EM40" s="298"/>
      <c r="EN40" s="207"/>
      <c r="EO40" s="207"/>
      <c r="EP40" s="298"/>
      <c r="EQ40" s="298"/>
      <c r="ER40" s="298"/>
      <c r="ES40" s="298"/>
      <c r="ET40" s="298"/>
      <c r="EU40" s="298"/>
      <c r="EV40" s="298"/>
      <c r="EW40" s="298"/>
      <c r="EX40" s="298"/>
      <c r="EY40" s="298"/>
      <c r="EZ40" s="298"/>
      <c r="FA40" s="207"/>
      <c r="FB40" s="207"/>
      <c r="FC40" s="298"/>
      <c r="FD40" s="298"/>
      <c r="FE40" s="298"/>
      <c r="FF40" s="298"/>
      <c r="FG40" s="298"/>
      <c r="FH40" s="298"/>
      <c r="FI40" s="298"/>
      <c r="FJ40" s="298"/>
      <c r="FK40" s="298"/>
      <c r="FL40" s="298"/>
      <c r="FM40" s="298"/>
      <c r="FN40" s="207"/>
      <c r="FO40" s="207"/>
      <c r="FP40" s="298"/>
      <c r="FQ40" s="298"/>
      <c r="FR40" s="298"/>
      <c r="FS40" s="298"/>
      <c r="FT40" s="298"/>
      <c r="FU40" s="298"/>
      <c r="FV40" s="298"/>
      <c r="FW40" s="298"/>
      <c r="FX40" s="298"/>
      <c r="FY40" s="298"/>
      <c r="FZ40" s="298"/>
      <c r="GA40" s="207"/>
      <c r="GB40" s="207"/>
      <c r="GC40" s="298"/>
      <c r="GD40" s="298"/>
      <c r="GE40" s="298"/>
      <c r="GF40" s="298"/>
      <c r="GG40" s="298"/>
      <c r="GH40" s="298"/>
      <c r="GI40" s="298"/>
      <c r="GJ40" s="298"/>
      <c r="GK40" s="298"/>
      <c r="GL40" s="298"/>
      <c r="GM40" s="298"/>
      <c r="GN40" s="207"/>
      <c r="GO40" s="207"/>
      <c r="GP40" s="298"/>
      <c r="GQ40" s="298"/>
      <c r="GR40" s="298"/>
      <c r="GS40" s="298"/>
      <c r="GT40" s="298"/>
      <c r="GU40" s="298"/>
      <c r="GV40" s="298"/>
      <c r="GW40" s="298"/>
      <c r="GX40" s="298"/>
      <c r="GY40" s="298"/>
      <c r="GZ40" s="298"/>
      <c r="HA40" s="207"/>
      <c r="HB40" s="207"/>
      <c r="HC40" s="298"/>
      <c r="HD40" s="298"/>
      <c r="HE40" s="298"/>
      <c r="HF40" s="298"/>
      <c r="HG40" s="298"/>
      <c r="HH40" s="298"/>
      <c r="HI40" s="298"/>
      <c r="HJ40" s="298"/>
      <c r="HK40" s="298"/>
      <c r="HL40" s="298"/>
      <c r="HM40" s="298"/>
      <c r="HN40" s="207"/>
      <c r="HO40" s="207"/>
      <c r="HP40" s="298"/>
      <c r="HQ40" s="298"/>
      <c r="HR40" s="298"/>
      <c r="HS40" s="298"/>
      <c r="HT40" s="298"/>
      <c r="HU40" s="298"/>
      <c r="HV40" s="298"/>
      <c r="HW40" s="298"/>
      <c r="HX40" s="298"/>
      <c r="HY40" s="298"/>
      <c r="HZ40" s="298"/>
      <c r="IA40" s="207"/>
      <c r="IB40" s="207"/>
      <c r="IC40" s="298"/>
      <c r="ID40" s="298"/>
      <c r="IE40" s="298"/>
      <c r="IF40" s="298"/>
      <c r="IG40" s="298"/>
      <c r="IH40" s="298"/>
      <c r="II40" s="298"/>
      <c r="IJ40" s="298"/>
      <c r="IK40" s="298"/>
      <c r="IL40" s="298"/>
      <c r="IM40" s="298"/>
      <c r="IN40" s="207"/>
      <c r="IO40" s="207"/>
      <c r="IP40" s="298"/>
      <c r="IQ40" s="298"/>
      <c r="IR40" s="298"/>
      <c r="IS40" s="298"/>
      <c r="IT40" s="298"/>
      <c r="IU40" s="298"/>
      <c r="IV40" s="29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893</v>
      </c>
      <c r="B72" s="288"/>
      <c r="C72" s="288"/>
      <c r="D72" s="288"/>
      <c r="E72" s="288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10" t="s">
        <v>800</v>
      </c>
      <c r="B73" s="210" t="s">
        <v>801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2010-10-04T15:32:02Z</cp:lastPrinted>
  <dcterms:created xsi:type="dcterms:W3CDTF">1997-12-04T19:04:30Z</dcterms:created>
  <dcterms:modified xsi:type="dcterms:W3CDTF">2025-01-02T14:54:06Z</dcterms:modified>
</cp:coreProperties>
</file>