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88EEE12D-C1EF-4959-A47C-7C61D378F686}" xr6:coauthVersionLast="47" xr6:coauthVersionMax="47" xr10:uidLastSave="{00000000-0000-0000-0000-000000000000}"/>
  <workbookProtection workbookPassword="B70A" lockStructure="1"/>
  <bookViews>
    <workbookView xWindow="3585" yWindow="3585" windowWidth="21600" windowHeight="11505" tabRatio="855" xr2:uid="{E047C2EA-04C7-4989-9400-E6D64FF6701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7" i="1" l="1"/>
  <c r="I235" i="1"/>
  <c r="D11" i="13"/>
  <c r="C11" i="13" s="1"/>
  <c r="G603" i="1"/>
  <c r="G602" i="1"/>
  <c r="G601" i="1"/>
  <c r="L601" i="1" s="1"/>
  <c r="J594" i="1"/>
  <c r="I594" i="1"/>
  <c r="H594" i="1"/>
  <c r="J585" i="1"/>
  <c r="J582" i="1"/>
  <c r="J588" i="1" s="1"/>
  <c r="H641" i="1" s="1"/>
  <c r="I585" i="1"/>
  <c r="K585" i="1" s="1"/>
  <c r="I582" i="1"/>
  <c r="H585" i="1"/>
  <c r="H582" i="1"/>
  <c r="G558" i="1"/>
  <c r="G557" i="1"/>
  <c r="K557" i="1"/>
  <c r="G552" i="1"/>
  <c r="K521" i="1"/>
  <c r="I518" i="1"/>
  <c r="I517" i="1"/>
  <c r="I516" i="1"/>
  <c r="H533" i="1"/>
  <c r="L533" i="1" s="1"/>
  <c r="J541" i="1" s="1"/>
  <c r="H518" i="1"/>
  <c r="H532" i="1"/>
  <c r="L532" i="1" s="1"/>
  <c r="H517" i="1"/>
  <c r="H531" i="1"/>
  <c r="H516" i="1"/>
  <c r="H511" i="1"/>
  <c r="L511" i="1" s="1"/>
  <c r="G518" i="1"/>
  <c r="G517" i="1"/>
  <c r="G516" i="1"/>
  <c r="F518" i="1"/>
  <c r="L518" i="1" s="1"/>
  <c r="G541" i="1" s="1"/>
  <c r="F517" i="1"/>
  <c r="L517" i="1" s="1"/>
  <c r="G540" i="1" s="1"/>
  <c r="F516" i="1"/>
  <c r="L516" i="1" s="1"/>
  <c r="H492" i="1"/>
  <c r="G492" i="1"/>
  <c r="I463" i="1"/>
  <c r="H462" i="1"/>
  <c r="H458" i="1"/>
  <c r="F360" i="1"/>
  <c r="H359" i="1"/>
  <c r="G359" i="1"/>
  <c r="K315" i="1"/>
  <c r="H315" i="1"/>
  <c r="L315" i="1" s="1"/>
  <c r="J293" i="1"/>
  <c r="L293" i="1" s="1"/>
  <c r="J274" i="1"/>
  <c r="H316" i="1"/>
  <c r="G316" i="1"/>
  <c r="F316" i="1"/>
  <c r="K313" i="1"/>
  <c r="L313" i="1" s="1"/>
  <c r="H313" i="1"/>
  <c r="J312" i="1"/>
  <c r="I312" i="1"/>
  <c r="H312" i="1"/>
  <c r="G312" i="1"/>
  <c r="F312" i="1"/>
  <c r="J306" i="1"/>
  <c r="J320" i="1" s="1"/>
  <c r="H306" i="1"/>
  <c r="H320" i="1" s="1"/>
  <c r="H297" i="1"/>
  <c r="G297" i="1"/>
  <c r="F297" i="1"/>
  <c r="K296" i="1"/>
  <c r="H296" i="1"/>
  <c r="H294" i="1"/>
  <c r="I293" i="1"/>
  <c r="H293" i="1"/>
  <c r="G293" i="1"/>
  <c r="F293" i="1"/>
  <c r="F301" i="1" s="1"/>
  <c r="J287" i="1"/>
  <c r="J301" i="1" s="1"/>
  <c r="H287" i="1"/>
  <c r="L287" i="1" s="1"/>
  <c r="L301" i="1" s="1"/>
  <c r="H278" i="1"/>
  <c r="G278" i="1"/>
  <c r="F278" i="1"/>
  <c r="K277" i="1"/>
  <c r="L277" i="1" s="1"/>
  <c r="H277" i="1"/>
  <c r="K275" i="1"/>
  <c r="H275" i="1"/>
  <c r="I274" i="1"/>
  <c r="H274" i="1"/>
  <c r="G274" i="1"/>
  <c r="F274" i="1"/>
  <c r="F282" i="1" s="1"/>
  <c r="F330" i="1" s="1"/>
  <c r="F344" i="1" s="1"/>
  <c r="J268" i="1"/>
  <c r="J282" i="1" s="1"/>
  <c r="H268" i="1"/>
  <c r="K312" i="1"/>
  <c r="J308" i="1"/>
  <c r="I311" i="1"/>
  <c r="I309" i="1"/>
  <c r="I308" i="1"/>
  <c r="I306" i="1"/>
  <c r="H308" i="1"/>
  <c r="H307" i="1"/>
  <c r="G311" i="1"/>
  <c r="G309" i="1"/>
  <c r="L309" i="1" s="1"/>
  <c r="G308" i="1"/>
  <c r="G320" i="1" s="1"/>
  <c r="G306" i="1"/>
  <c r="F311" i="1"/>
  <c r="F309" i="1"/>
  <c r="F308" i="1"/>
  <c r="L308" i="1" s="1"/>
  <c r="F306" i="1"/>
  <c r="I292" i="1"/>
  <c r="G290" i="1"/>
  <c r="F290" i="1"/>
  <c r="K274" i="1"/>
  <c r="K273" i="1"/>
  <c r="K271" i="1"/>
  <c r="K282" i="1" s="1"/>
  <c r="J269" i="1"/>
  <c r="I275" i="1"/>
  <c r="I273" i="1"/>
  <c r="I271" i="1"/>
  <c r="I269" i="1"/>
  <c r="I268" i="1"/>
  <c r="H279" i="1"/>
  <c r="H273" i="1"/>
  <c r="H271" i="1"/>
  <c r="H269" i="1"/>
  <c r="G273" i="1"/>
  <c r="G271" i="1"/>
  <c r="C36" i="12" s="1"/>
  <c r="G269" i="1"/>
  <c r="G282" i="1" s="1"/>
  <c r="G330" i="1" s="1"/>
  <c r="G344" i="1" s="1"/>
  <c r="G268" i="1"/>
  <c r="F275" i="1"/>
  <c r="F273" i="1"/>
  <c r="L273" i="1" s="1"/>
  <c r="E110" i="2" s="1"/>
  <c r="F271" i="1"/>
  <c r="L271" i="1" s="1"/>
  <c r="E104" i="2" s="1"/>
  <c r="F269" i="1"/>
  <c r="F268" i="1"/>
  <c r="L268" i="1" s="1"/>
  <c r="J231" i="1"/>
  <c r="K232" i="1"/>
  <c r="K231" i="1"/>
  <c r="J237" i="1"/>
  <c r="J235" i="1"/>
  <c r="F14" i="13" s="1"/>
  <c r="I237" i="1"/>
  <c r="I239" i="1" s="1"/>
  <c r="I233" i="1"/>
  <c r="I231" i="1"/>
  <c r="I230" i="1"/>
  <c r="I228" i="1"/>
  <c r="H237" i="1"/>
  <c r="H236" i="1"/>
  <c r="H235" i="1"/>
  <c r="H233" i="1"/>
  <c r="H232" i="1"/>
  <c r="H231" i="1"/>
  <c r="F231" i="1"/>
  <c r="L231" i="1" s="1"/>
  <c r="H230" i="1"/>
  <c r="H239" i="1" s="1"/>
  <c r="H228" i="1"/>
  <c r="G237" i="1"/>
  <c r="L237" i="1" s="1"/>
  <c r="G235" i="1"/>
  <c r="G232" i="1"/>
  <c r="G231" i="1"/>
  <c r="G230" i="1"/>
  <c r="G228" i="1"/>
  <c r="F237" i="1"/>
  <c r="F235" i="1"/>
  <c r="F232" i="1"/>
  <c r="F230" i="1"/>
  <c r="L230" i="1" s="1"/>
  <c r="F228" i="1"/>
  <c r="L228" i="1" s="1"/>
  <c r="K214" i="1"/>
  <c r="K213" i="1"/>
  <c r="K212" i="1"/>
  <c r="G6" i="13" s="1"/>
  <c r="J219" i="1"/>
  <c r="F16" i="13" s="1"/>
  <c r="J212" i="1"/>
  <c r="I219" i="1"/>
  <c r="I213" i="1"/>
  <c r="I212" i="1"/>
  <c r="I210" i="1"/>
  <c r="H219" i="1"/>
  <c r="H218" i="1"/>
  <c r="H217" i="1"/>
  <c r="H221" i="1" s="1"/>
  <c r="H215" i="1"/>
  <c r="H214" i="1"/>
  <c r="H213" i="1"/>
  <c r="H212" i="1"/>
  <c r="H210" i="1"/>
  <c r="H208" i="1"/>
  <c r="G210" i="1"/>
  <c r="G219" i="1"/>
  <c r="G214" i="1"/>
  <c r="G213" i="1"/>
  <c r="G212" i="1"/>
  <c r="G208" i="1"/>
  <c r="C18" i="12" s="1"/>
  <c r="F219" i="1"/>
  <c r="F217" i="1"/>
  <c r="L217" i="1" s="1"/>
  <c r="F214" i="1"/>
  <c r="F213" i="1"/>
  <c r="L213" i="1" s="1"/>
  <c r="F212" i="1"/>
  <c r="F210" i="1"/>
  <c r="F208" i="1"/>
  <c r="K196" i="1"/>
  <c r="J201" i="1"/>
  <c r="J194" i="1"/>
  <c r="F6" i="13" s="1"/>
  <c r="J190" i="1"/>
  <c r="J203" i="1" s="1"/>
  <c r="I201" i="1"/>
  <c r="I203" i="1" s="1"/>
  <c r="I249" i="1" s="1"/>
  <c r="I263" i="1" s="1"/>
  <c r="I197" i="1"/>
  <c r="I196" i="1"/>
  <c r="I195" i="1"/>
  <c r="I194" i="1"/>
  <c r="I190" i="1"/>
  <c r="H201" i="1"/>
  <c r="H200" i="1"/>
  <c r="H199" i="1"/>
  <c r="H198" i="1"/>
  <c r="H196" i="1"/>
  <c r="H195" i="1"/>
  <c r="L195" i="1" s="1"/>
  <c r="H194" i="1"/>
  <c r="H203" i="1" s="1"/>
  <c r="H249" i="1" s="1"/>
  <c r="H263" i="1" s="1"/>
  <c r="H192" i="1"/>
  <c r="G201" i="1"/>
  <c r="G196" i="1"/>
  <c r="G195" i="1"/>
  <c r="G194" i="1"/>
  <c r="G190" i="1"/>
  <c r="F201" i="1"/>
  <c r="F196" i="1"/>
  <c r="F195" i="1"/>
  <c r="F194" i="1"/>
  <c r="F190" i="1"/>
  <c r="B18" i="12" s="1"/>
  <c r="H56" i="1"/>
  <c r="H71" i="1" s="1"/>
  <c r="H55" i="1"/>
  <c r="G89" i="1"/>
  <c r="D52" i="2" s="1"/>
  <c r="D54" i="2" s="1"/>
  <c r="F102" i="1"/>
  <c r="F103" i="1" s="1"/>
  <c r="I26" i="1"/>
  <c r="H41" i="1"/>
  <c r="H31" i="1"/>
  <c r="E30" i="2" s="1"/>
  <c r="E32" i="2" s="1"/>
  <c r="H29" i="1"/>
  <c r="H25" i="1"/>
  <c r="H24" i="1"/>
  <c r="H23" i="1"/>
  <c r="H33" i="1" s="1"/>
  <c r="H44" i="1" s="1"/>
  <c r="H609" i="1" s="1"/>
  <c r="H14" i="1"/>
  <c r="E14" i="2" s="1"/>
  <c r="H13" i="1"/>
  <c r="H19" i="1" s="1"/>
  <c r="G609" i="1" s="1"/>
  <c r="J609" i="1" s="1"/>
  <c r="H12" i="1"/>
  <c r="H17" i="1"/>
  <c r="E17" i="2" s="1"/>
  <c r="H9" i="1"/>
  <c r="G9" i="1"/>
  <c r="F9" i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G16" i="13"/>
  <c r="L201" i="1"/>
  <c r="L219" i="1"/>
  <c r="G5" i="13"/>
  <c r="L189" i="1"/>
  <c r="L191" i="1"/>
  <c r="L192" i="1"/>
  <c r="L207" i="1"/>
  <c r="C101" i="2" s="1"/>
  <c r="L208" i="1"/>
  <c r="L209" i="1"/>
  <c r="L210" i="1"/>
  <c r="L225" i="1"/>
  <c r="L226" i="1"/>
  <c r="L227" i="1"/>
  <c r="L212" i="1"/>
  <c r="F7" i="13"/>
  <c r="G7" i="13"/>
  <c r="F12" i="13"/>
  <c r="G12" i="13"/>
  <c r="L197" i="1"/>
  <c r="D12" i="13" s="1"/>
  <c r="C12" i="13" s="1"/>
  <c r="L215" i="1"/>
  <c r="L233" i="1"/>
  <c r="G14" i="13"/>
  <c r="L199" i="1"/>
  <c r="F15" i="13"/>
  <c r="G15" i="13"/>
  <c r="L200" i="1"/>
  <c r="D15" i="13" s="1"/>
  <c r="C15" i="13" s="1"/>
  <c r="L218" i="1"/>
  <c r="G640" i="1" s="1"/>
  <c r="L236" i="1"/>
  <c r="H652" i="1" s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L352" i="1"/>
  <c r="I359" i="1"/>
  <c r="K301" i="1"/>
  <c r="K320" i="1"/>
  <c r="L270" i="1"/>
  <c r="L275" i="1"/>
  <c r="E112" i="2" s="1"/>
  <c r="L276" i="1"/>
  <c r="E113" i="2" s="1"/>
  <c r="L278" i="1"/>
  <c r="L279" i="1"/>
  <c r="E116" i="2" s="1"/>
  <c r="L280" i="1"/>
  <c r="L288" i="1"/>
  <c r="L289" i="1"/>
  <c r="L290" i="1"/>
  <c r="L292" i="1"/>
  <c r="L294" i="1"/>
  <c r="L295" i="1"/>
  <c r="L296" i="1"/>
  <c r="L297" i="1"/>
  <c r="L298" i="1"/>
  <c r="L299" i="1"/>
  <c r="L307" i="1"/>
  <c r="L311" i="1"/>
  <c r="L312" i="1"/>
  <c r="L314" i="1"/>
  <c r="L316" i="1"/>
  <c r="L317" i="1"/>
  <c r="L318" i="1"/>
  <c r="L325" i="1"/>
  <c r="L326" i="1"/>
  <c r="L327" i="1"/>
  <c r="E106" i="2" s="1"/>
  <c r="L252" i="1"/>
  <c r="H25" i="13" s="1"/>
  <c r="L253" i="1"/>
  <c r="L333" i="1"/>
  <c r="L334" i="1"/>
  <c r="L343" i="1" s="1"/>
  <c r="L247" i="1"/>
  <c r="L328" i="1"/>
  <c r="C29" i="10" s="1"/>
  <c r="F22" i="13"/>
  <c r="C22" i="13" s="1"/>
  <c r="C10" i="13"/>
  <c r="C9" i="13"/>
  <c r="L353" i="1"/>
  <c r="B4" i="12"/>
  <c r="B36" i="12"/>
  <c r="A40" i="12" s="1"/>
  <c r="B40" i="12"/>
  <c r="C40" i="12"/>
  <c r="B27" i="12"/>
  <c r="B31" i="12"/>
  <c r="C31" i="12"/>
  <c r="B13" i="12"/>
  <c r="C9" i="12"/>
  <c r="C13" i="12"/>
  <c r="B22" i="12"/>
  <c r="C22" i="12"/>
  <c r="B1" i="12"/>
  <c r="L379" i="1"/>
  <c r="L380" i="1"/>
  <c r="L381" i="1"/>
  <c r="L385" i="1" s="1"/>
  <c r="L382" i="1"/>
  <c r="L383" i="1"/>
  <c r="L384" i="1"/>
  <c r="L387" i="1"/>
  <c r="L388" i="1"/>
  <c r="L389" i="1"/>
  <c r="L390" i="1"/>
  <c r="L391" i="1"/>
  <c r="L392" i="1"/>
  <c r="L393" i="1"/>
  <c r="C131" i="2"/>
  <c r="L395" i="1"/>
  <c r="L399" i="1" s="1"/>
  <c r="C132" i="2" s="1"/>
  <c r="L396" i="1"/>
  <c r="L397" i="1"/>
  <c r="L398" i="1"/>
  <c r="L258" i="1"/>
  <c r="J52" i="1"/>
  <c r="G48" i="2" s="1"/>
  <c r="G51" i="2"/>
  <c r="G53" i="2"/>
  <c r="G54" i="2" s="1"/>
  <c r="F2" i="11"/>
  <c r="L603" i="1"/>
  <c r="H653" i="1" s="1"/>
  <c r="L602" i="1"/>
  <c r="G653" i="1"/>
  <c r="C40" i="10"/>
  <c r="F52" i="1"/>
  <c r="C35" i="10" s="1"/>
  <c r="G52" i="1"/>
  <c r="D48" i="2" s="1"/>
  <c r="H52" i="1"/>
  <c r="E48" i="2" s="1"/>
  <c r="I52" i="1"/>
  <c r="F71" i="1"/>
  <c r="C49" i="2" s="1"/>
  <c r="C54" i="2" s="1"/>
  <c r="F86" i="1"/>
  <c r="H86" i="1"/>
  <c r="H103" i="1"/>
  <c r="I103" i="1"/>
  <c r="I104" i="1"/>
  <c r="J103" i="1"/>
  <c r="J104" i="1" s="1"/>
  <c r="C37" i="10"/>
  <c r="F113" i="1"/>
  <c r="F132" i="1" s="1"/>
  <c r="F128" i="1"/>
  <c r="G113" i="1"/>
  <c r="G128" i="1"/>
  <c r="G132" i="1" s="1"/>
  <c r="H113" i="1"/>
  <c r="H128" i="1"/>
  <c r="H132" i="1" s="1"/>
  <c r="I113" i="1"/>
  <c r="I128" i="1"/>
  <c r="I132" i="1"/>
  <c r="J113" i="1"/>
  <c r="J132" i="1" s="1"/>
  <c r="J128" i="1"/>
  <c r="F139" i="1"/>
  <c r="F161" i="1" s="1"/>
  <c r="F154" i="1"/>
  <c r="G139" i="1"/>
  <c r="G161" i="1" s="1"/>
  <c r="G154" i="1"/>
  <c r="H139" i="1"/>
  <c r="H154" i="1"/>
  <c r="H161" i="1" s="1"/>
  <c r="I139" i="1"/>
  <c r="I154" i="1"/>
  <c r="I161" i="1"/>
  <c r="L242" i="1"/>
  <c r="C23" i="10" s="1"/>
  <c r="L324" i="1"/>
  <c r="L246" i="1"/>
  <c r="C24" i="10"/>
  <c r="C25" i="10"/>
  <c r="L260" i="1"/>
  <c r="L261" i="1"/>
  <c r="C26" i="10" s="1"/>
  <c r="L341" i="1"/>
  <c r="E134" i="2" s="1"/>
  <c r="L342" i="1"/>
  <c r="I655" i="1"/>
  <c r="I660" i="1"/>
  <c r="G651" i="1"/>
  <c r="H651" i="1"/>
  <c r="I659" i="1"/>
  <c r="C42" i="10"/>
  <c r="C32" i="10"/>
  <c r="L366" i="1"/>
  <c r="F122" i="2" s="1"/>
  <c r="F136" i="2" s="1"/>
  <c r="F137" i="2" s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2" i="1"/>
  <c r="F540" i="1"/>
  <c r="L513" i="1"/>
  <c r="F541" i="1" s="1"/>
  <c r="K541" i="1" s="1"/>
  <c r="L521" i="1"/>
  <c r="H539" i="1"/>
  <c r="L522" i="1"/>
  <c r="L524" i="1" s="1"/>
  <c r="L523" i="1"/>
  <c r="H541" i="1"/>
  <c r="L526" i="1"/>
  <c r="I539" i="1" s="1"/>
  <c r="I542" i="1" s="1"/>
  <c r="L527" i="1"/>
  <c r="I540" i="1" s="1"/>
  <c r="L528" i="1"/>
  <c r="I541" i="1" s="1"/>
  <c r="L531" i="1"/>
  <c r="J539" i="1" s="1"/>
  <c r="E124" i="2"/>
  <c r="E123" i="2"/>
  <c r="K262" i="1"/>
  <c r="J262" i="1"/>
  <c r="I262" i="1"/>
  <c r="H262" i="1"/>
  <c r="G262" i="1"/>
  <c r="L262" i="1" s="1"/>
  <c r="F262" i="1"/>
  <c r="C124" i="2"/>
  <c r="A1" i="2"/>
  <c r="A2" i="2"/>
  <c r="C9" i="2"/>
  <c r="C19" i="2" s="1"/>
  <c r="D9" i="2"/>
  <c r="D19" i="2" s="1"/>
  <c r="E9" i="2"/>
  <c r="F9" i="2"/>
  <c r="I431" i="1"/>
  <c r="J9" i="1" s="1"/>
  <c r="C10" i="2"/>
  <c r="D10" i="2"/>
  <c r="E10" i="2"/>
  <c r="F10" i="2"/>
  <c r="I432" i="1"/>
  <c r="J10" i="1"/>
  <c r="G10" i="2"/>
  <c r="C11" i="2"/>
  <c r="C12" i="2"/>
  <c r="D12" i="2"/>
  <c r="E12" i="2"/>
  <c r="F12" i="2"/>
  <c r="F19" i="2" s="1"/>
  <c r="I433" i="1"/>
  <c r="J12" i="1"/>
  <c r="G12" i="2" s="1"/>
  <c r="C13" i="2"/>
  <c r="D13" i="2"/>
  <c r="F13" i="2"/>
  <c r="I434" i="1"/>
  <c r="J13" i="1" s="1"/>
  <c r="G13" i="2" s="1"/>
  <c r="C14" i="2"/>
  <c r="D14" i="2"/>
  <c r="F14" i="2"/>
  <c r="I435" i="1"/>
  <c r="J14" i="1"/>
  <c r="G14" i="2" s="1"/>
  <c r="F15" i="2"/>
  <c r="C16" i="2"/>
  <c r="D16" i="2"/>
  <c r="E16" i="2"/>
  <c r="F16" i="2"/>
  <c r="C17" i="2"/>
  <c r="D17" i="2"/>
  <c r="F17" i="2"/>
  <c r="I436" i="1"/>
  <c r="J17" i="1"/>
  <c r="G17" i="2" s="1"/>
  <c r="C18" i="2"/>
  <c r="D18" i="2"/>
  <c r="E18" i="2"/>
  <c r="F18" i="2"/>
  <c r="I437" i="1"/>
  <c r="J18" i="1"/>
  <c r="G18" i="2" s="1"/>
  <c r="C22" i="2"/>
  <c r="D22" i="2"/>
  <c r="E22" i="2"/>
  <c r="F22" i="2"/>
  <c r="I440" i="1"/>
  <c r="J23" i="1"/>
  <c r="G22" i="2" s="1"/>
  <c r="C23" i="2"/>
  <c r="D23" i="2"/>
  <c r="E23" i="2"/>
  <c r="F23" i="2"/>
  <c r="F32" i="2" s="1"/>
  <c r="I441" i="1"/>
  <c r="J24" i="1"/>
  <c r="J33" i="1" s="1"/>
  <c r="G23" i="2"/>
  <c r="C24" i="2"/>
  <c r="C32" i="2" s="1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F30" i="2"/>
  <c r="C31" i="2"/>
  <c r="D31" i="2"/>
  <c r="E31" i="2"/>
  <c r="F31" i="2"/>
  <c r="I443" i="1"/>
  <c r="J32" i="1"/>
  <c r="G31" i="2" s="1"/>
  <c r="D32" i="2"/>
  <c r="C34" i="2"/>
  <c r="C42" i="2" s="1"/>
  <c r="D34" i="2"/>
  <c r="D42" i="2" s="1"/>
  <c r="D43" i="2" s="1"/>
  <c r="E34" i="2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E42" i="2" s="1"/>
  <c r="E43" i="2" s="1"/>
  <c r="F37" i="2"/>
  <c r="I447" i="1"/>
  <c r="I450" i="1" s="1"/>
  <c r="J38" i="1"/>
  <c r="G37" i="2" s="1"/>
  <c r="C38" i="2"/>
  <c r="D38" i="2"/>
  <c r="E38" i="2"/>
  <c r="F38" i="2"/>
  <c r="I448" i="1"/>
  <c r="J40" i="1"/>
  <c r="G39" i="2" s="1"/>
  <c r="C40" i="2"/>
  <c r="D40" i="2"/>
  <c r="E40" i="2"/>
  <c r="F40" i="2"/>
  <c r="F42" i="2" s="1"/>
  <c r="F43" i="2" s="1"/>
  <c r="I449" i="1"/>
  <c r="J41" i="1" s="1"/>
  <c r="G40" i="2" s="1"/>
  <c r="C41" i="2"/>
  <c r="D41" i="2"/>
  <c r="E41" i="2"/>
  <c r="F41" i="2"/>
  <c r="F48" i="2"/>
  <c r="C50" i="2"/>
  <c r="E50" i="2"/>
  <c r="C51" i="2"/>
  <c r="D51" i="2"/>
  <c r="E51" i="2"/>
  <c r="F51" i="2"/>
  <c r="F54" i="2" s="1"/>
  <c r="C53" i="2"/>
  <c r="D53" i="2"/>
  <c r="E53" i="2"/>
  <c r="F53" i="2"/>
  <c r="C58" i="2"/>
  <c r="C62" i="2" s="1"/>
  <c r="C59" i="2"/>
  <c r="C61" i="2"/>
  <c r="D61" i="2"/>
  <c r="E61" i="2"/>
  <c r="E62" i="2" s="1"/>
  <c r="F61" i="2"/>
  <c r="F62" i="2" s="1"/>
  <c r="G61" i="2"/>
  <c r="G62" i="2" s="1"/>
  <c r="D62" i="2"/>
  <c r="C64" i="2"/>
  <c r="C70" i="2" s="1"/>
  <c r="C73" i="2" s="1"/>
  <c r="F64" i="2"/>
  <c r="C65" i="2"/>
  <c r="F65" i="2"/>
  <c r="C66" i="2"/>
  <c r="C67" i="2"/>
  <c r="C68" i="2"/>
  <c r="E68" i="2"/>
  <c r="F68" i="2"/>
  <c r="C69" i="2"/>
  <c r="D69" i="2"/>
  <c r="D70" i="2" s="1"/>
  <c r="D73" i="2" s="1"/>
  <c r="E69" i="2"/>
  <c r="F69" i="2"/>
  <c r="G69" i="2"/>
  <c r="E70" i="2"/>
  <c r="F70" i="2"/>
  <c r="G70" i="2"/>
  <c r="C71" i="2"/>
  <c r="D71" i="2"/>
  <c r="E71" i="2"/>
  <c r="C72" i="2"/>
  <c r="E72" i="2"/>
  <c r="C77" i="2"/>
  <c r="C83" i="2" s="1"/>
  <c r="D77" i="2"/>
  <c r="D83" i="2" s="1"/>
  <c r="E77" i="2"/>
  <c r="F77" i="2"/>
  <c r="C79" i="2"/>
  <c r="E79" i="2"/>
  <c r="E83" i="2" s="1"/>
  <c r="F79" i="2"/>
  <c r="C80" i="2"/>
  <c r="D80" i="2"/>
  <c r="E80" i="2"/>
  <c r="F80" i="2"/>
  <c r="C81" i="2"/>
  <c r="D81" i="2"/>
  <c r="E81" i="2"/>
  <c r="F81" i="2"/>
  <c r="C82" i="2"/>
  <c r="F83" i="2"/>
  <c r="C85" i="2"/>
  <c r="F85" i="2"/>
  <c r="F95" i="2" s="1"/>
  <c r="C86" i="2"/>
  <c r="F86" i="2"/>
  <c r="D88" i="2"/>
  <c r="D95" i="2" s="1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C95" i="2" s="1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3" i="2"/>
  <c r="C105" i="2"/>
  <c r="E105" i="2"/>
  <c r="C106" i="2"/>
  <c r="D107" i="2"/>
  <c r="F107" i="2"/>
  <c r="G107" i="2"/>
  <c r="C112" i="2"/>
  <c r="C114" i="2"/>
  <c r="E115" i="2"/>
  <c r="E117" i="2"/>
  <c r="D119" i="2"/>
  <c r="D120" i="2" s="1"/>
  <c r="D137" i="2" s="1"/>
  <c r="F120" i="2"/>
  <c r="G120" i="2"/>
  <c r="C122" i="2"/>
  <c r="D126" i="2"/>
  <c r="D136" i="2" s="1"/>
  <c r="E126" i="2"/>
  <c r="F126" i="2"/>
  <c r="K411" i="1"/>
  <c r="K426" i="1" s="1"/>
  <c r="G126" i="2" s="1"/>
  <c r="G136" i="2" s="1"/>
  <c r="K419" i="1"/>
  <c r="K425" i="1"/>
  <c r="L255" i="1"/>
  <c r="C127" i="2" s="1"/>
  <c r="L256" i="1"/>
  <c r="C128" i="2" s="1"/>
  <c r="L257" i="1"/>
  <c r="C129" i="2"/>
  <c r="E129" i="2"/>
  <c r="C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K490" i="1" s="1"/>
  <c r="H490" i="1"/>
  <c r="D153" i="2"/>
  <c r="I490" i="1"/>
  <c r="E153" i="2"/>
  <c r="J490" i="1"/>
  <c r="F153" i="2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 s="1"/>
  <c r="G493" i="1"/>
  <c r="K493" i="1" s="1"/>
  <c r="C156" i="2"/>
  <c r="H493" i="1"/>
  <c r="D156" i="2" s="1"/>
  <c r="I493" i="1"/>
  <c r="E156" i="2" s="1"/>
  <c r="J493" i="1"/>
  <c r="F156" i="2" s="1"/>
  <c r="F19" i="1"/>
  <c r="G19" i="1"/>
  <c r="I19" i="1"/>
  <c r="G610" i="1" s="1"/>
  <c r="J610" i="1" s="1"/>
  <c r="F33" i="1"/>
  <c r="F44" i="1" s="1"/>
  <c r="H607" i="1" s="1"/>
  <c r="J607" i="1" s="1"/>
  <c r="G33" i="1"/>
  <c r="I33" i="1"/>
  <c r="F43" i="1"/>
  <c r="G43" i="1"/>
  <c r="H43" i="1"/>
  <c r="I43" i="1"/>
  <c r="I44" i="1" s="1"/>
  <c r="H610" i="1" s="1"/>
  <c r="G44" i="1"/>
  <c r="H608" i="1" s="1"/>
  <c r="J608" i="1" s="1"/>
  <c r="F169" i="1"/>
  <c r="F184" i="1" s="1"/>
  <c r="I169" i="1"/>
  <c r="I184" i="1" s="1"/>
  <c r="I185" i="1" s="1"/>
  <c r="G620" i="1" s="1"/>
  <c r="J620" i="1" s="1"/>
  <c r="F175" i="1"/>
  <c r="G175" i="1"/>
  <c r="G184" i="1" s="1"/>
  <c r="H175" i="1"/>
  <c r="I175" i="1"/>
  <c r="J175" i="1"/>
  <c r="F180" i="1"/>
  <c r="G180" i="1"/>
  <c r="H180" i="1"/>
  <c r="H184" i="1" s="1"/>
  <c r="I180" i="1"/>
  <c r="J184" i="1"/>
  <c r="G203" i="1"/>
  <c r="K203" i="1"/>
  <c r="F221" i="1"/>
  <c r="I221" i="1"/>
  <c r="J221" i="1"/>
  <c r="K221" i="1"/>
  <c r="K249" i="1" s="1"/>
  <c r="K263" i="1" s="1"/>
  <c r="G239" i="1"/>
  <c r="K239" i="1"/>
  <c r="F248" i="1"/>
  <c r="G248" i="1"/>
  <c r="H248" i="1"/>
  <c r="I248" i="1"/>
  <c r="J248" i="1"/>
  <c r="K248" i="1"/>
  <c r="L248" i="1" s="1"/>
  <c r="H282" i="1"/>
  <c r="I282" i="1"/>
  <c r="G301" i="1"/>
  <c r="I301" i="1"/>
  <c r="I330" i="1" s="1"/>
  <c r="I344" i="1" s="1"/>
  <c r="F320" i="1"/>
  <c r="I320" i="1"/>
  <c r="F329" i="1"/>
  <c r="G329" i="1"/>
  <c r="H329" i="1"/>
  <c r="I329" i="1"/>
  <c r="J329" i="1"/>
  <c r="K329" i="1"/>
  <c r="L329" i="1"/>
  <c r="F354" i="1"/>
  <c r="G354" i="1"/>
  <c r="H354" i="1"/>
  <c r="I354" i="1"/>
  <c r="G624" i="1" s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I393" i="1"/>
  <c r="F399" i="1"/>
  <c r="G399" i="1"/>
  <c r="H399" i="1"/>
  <c r="I399" i="1"/>
  <c r="H400" i="1"/>
  <c r="H634" i="1" s="1"/>
  <c r="I400" i="1"/>
  <c r="L405" i="1"/>
  <c r="L406" i="1"/>
  <c r="L407" i="1"/>
  <c r="L408" i="1"/>
  <c r="L409" i="1"/>
  <c r="L410" i="1"/>
  <c r="F411" i="1"/>
  <c r="G411" i="1"/>
  <c r="H411" i="1"/>
  <c r="I411" i="1"/>
  <c r="I426" i="1" s="1"/>
  <c r="J411" i="1"/>
  <c r="J426" i="1" s="1"/>
  <c r="L411" i="1"/>
  <c r="L426" i="1" s="1"/>
  <c r="G628" i="1" s="1"/>
  <c r="J628" i="1" s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2" i="1"/>
  <c r="L423" i="1"/>
  <c r="L424" i="1"/>
  <c r="F425" i="1"/>
  <c r="G425" i="1"/>
  <c r="H425" i="1"/>
  <c r="H426" i="1" s="1"/>
  <c r="I425" i="1"/>
  <c r="J425" i="1"/>
  <c r="L425" i="1"/>
  <c r="F426" i="1"/>
  <c r="G426" i="1"/>
  <c r="F438" i="1"/>
  <c r="G438" i="1"/>
  <c r="G630" i="1" s="1"/>
  <c r="H438" i="1"/>
  <c r="F444" i="1"/>
  <c r="F451" i="1" s="1"/>
  <c r="H629" i="1" s="1"/>
  <c r="G444" i="1"/>
  <c r="G451" i="1" s="1"/>
  <c r="H630" i="1" s="1"/>
  <c r="H444" i="1"/>
  <c r="H451" i="1" s="1"/>
  <c r="H631" i="1" s="1"/>
  <c r="J631" i="1" s="1"/>
  <c r="I444" i="1"/>
  <c r="I451" i="1" s="1"/>
  <c r="H632" i="1" s="1"/>
  <c r="F450" i="1"/>
  <c r="G450" i="1"/>
  <c r="H450" i="1"/>
  <c r="F460" i="1"/>
  <c r="G460" i="1"/>
  <c r="G466" i="1" s="1"/>
  <c r="H613" i="1" s="1"/>
  <c r="H460" i="1"/>
  <c r="H466" i="1" s="1"/>
  <c r="H614" i="1" s="1"/>
  <c r="I460" i="1"/>
  <c r="I466" i="1" s="1"/>
  <c r="H615" i="1" s="1"/>
  <c r="J615" i="1" s="1"/>
  <c r="J460" i="1"/>
  <c r="F464" i="1"/>
  <c r="F466" i="1" s="1"/>
  <c r="H612" i="1" s="1"/>
  <c r="J612" i="1" s="1"/>
  <c r="G464" i="1"/>
  <c r="H464" i="1"/>
  <c r="I464" i="1"/>
  <c r="J464" i="1"/>
  <c r="J466" i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I514" i="1"/>
  <c r="I535" i="1" s="1"/>
  <c r="J514" i="1"/>
  <c r="K514" i="1"/>
  <c r="K535" i="1" s="1"/>
  <c r="G519" i="1"/>
  <c r="H519" i="1"/>
  <c r="I519" i="1"/>
  <c r="J519" i="1"/>
  <c r="J535" i="1" s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I534" i="1"/>
  <c r="J534" i="1"/>
  <c r="K534" i="1"/>
  <c r="L547" i="1"/>
  <c r="L548" i="1"/>
  <c r="L549" i="1"/>
  <c r="F550" i="1"/>
  <c r="F561" i="1" s="1"/>
  <c r="G550" i="1"/>
  <c r="G561" i="1" s="1"/>
  <c r="H550" i="1"/>
  <c r="H561" i="1" s="1"/>
  <c r="I550" i="1"/>
  <c r="J550" i="1"/>
  <c r="J561" i="1" s="1"/>
  <c r="K550" i="1"/>
  <c r="L550" i="1"/>
  <c r="L552" i="1"/>
  <c r="L553" i="1"/>
  <c r="L555" i="1" s="1"/>
  <c r="L554" i="1"/>
  <c r="F555" i="1"/>
  <c r="G555" i="1"/>
  <c r="H555" i="1"/>
  <c r="I555" i="1"/>
  <c r="I561" i="1" s="1"/>
  <c r="J555" i="1"/>
  <c r="K555" i="1"/>
  <c r="L557" i="1"/>
  <c r="L558" i="1"/>
  <c r="L559" i="1"/>
  <c r="F560" i="1"/>
  <c r="G560" i="1"/>
  <c r="H560" i="1"/>
  <c r="I560" i="1"/>
  <c r="J560" i="1"/>
  <c r="K560" i="1"/>
  <c r="K561" i="1" s="1"/>
  <c r="L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3" i="1"/>
  <c r="K584" i="1"/>
  <c r="K586" i="1"/>
  <c r="K587" i="1"/>
  <c r="H588" i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G607" i="1"/>
  <c r="G608" i="1"/>
  <c r="G612" i="1"/>
  <c r="G613" i="1"/>
  <c r="J613" i="1" s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G631" i="1"/>
  <c r="G633" i="1"/>
  <c r="G634" i="1"/>
  <c r="J634" i="1" s="1"/>
  <c r="G635" i="1"/>
  <c r="G639" i="1"/>
  <c r="H639" i="1"/>
  <c r="J639" i="1" s="1"/>
  <c r="G642" i="1"/>
  <c r="J642" i="1" s="1"/>
  <c r="H642" i="1"/>
  <c r="G643" i="1"/>
  <c r="H643" i="1"/>
  <c r="J643" i="1" s="1"/>
  <c r="G644" i="1"/>
  <c r="H644" i="1"/>
  <c r="J644" i="1"/>
  <c r="G645" i="1"/>
  <c r="J645" i="1" s="1"/>
  <c r="H645" i="1"/>
  <c r="G137" i="2" l="1"/>
  <c r="C133" i="2"/>
  <c r="E49" i="2"/>
  <c r="E54" i="2" s="1"/>
  <c r="H104" i="1"/>
  <c r="H185" i="1" s="1"/>
  <c r="G619" i="1" s="1"/>
  <c r="J619" i="1" s="1"/>
  <c r="L239" i="1"/>
  <c r="C13" i="10"/>
  <c r="J330" i="1"/>
  <c r="J344" i="1" s="1"/>
  <c r="F31" i="13"/>
  <c r="L519" i="1"/>
  <c r="G539" i="1"/>
  <c r="G542" i="1" s="1"/>
  <c r="F55" i="2"/>
  <c r="E19" i="2"/>
  <c r="E55" i="2"/>
  <c r="A22" i="12"/>
  <c r="C16" i="10"/>
  <c r="D7" i="13"/>
  <c r="C7" i="13" s="1"/>
  <c r="C111" i="2"/>
  <c r="G31" i="13"/>
  <c r="K330" i="1"/>
  <c r="K344" i="1" s="1"/>
  <c r="L561" i="1"/>
  <c r="H535" i="1"/>
  <c r="G73" i="2"/>
  <c r="G32" i="2"/>
  <c r="D55" i="2"/>
  <c r="D96" i="2" s="1"/>
  <c r="J640" i="1"/>
  <c r="C8" i="13"/>
  <c r="F73" i="2"/>
  <c r="C38" i="10"/>
  <c r="J633" i="1"/>
  <c r="G156" i="2"/>
  <c r="E73" i="2"/>
  <c r="C39" i="10"/>
  <c r="C130" i="2"/>
  <c r="L400" i="1"/>
  <c r="E16" i="13"/>
  <c r="C16" i="13" s="1"/>
  <c r="J624" i="1"/>
  <c r="J185" i="1"/>
  <c r="C25" i="13"/>
  <c r="H33" i="13"/>
  <c r="C20" i="10"/>
  <c r="L514" i="1"/>
  <c r="F539" i="1"/>
  <c r="F653" i="1"/>
  <c r="I653" i="1" s="1"/>
  <c r="L604" i="1"/>
  <c r="J614" i="1"/>
  <c r="E103" i="2"/>
  <c r="C12" i="10"/>
  <c r="C19" i="10"/>
  <c r="E114" i="2"/>
  <c r="G33" i="13"/>
  <c r="J540" i="1"/>
  <c r="J542" i="1" s="1"/>
  <c r="L534" i="1"/>
  <c r="J630" i="1"/>
  <c r="G36" i="2"/>
  <c r="G42" i="2" s="1"/>
  <c r="G43" i="2" s="1"/>
  <c r="J43" i="1"/>
  <c r="C43" i="2"/>
  <c r="G9" i="2"/>
  <c r="G19" i="2" s="1"/>
  <c r="J19" i="1"/>
  <c r="G611" i="1" s="1"/>
  <c r="G55" i="2"/>
  <c r="C104" i="2"/>
  <c r="F239" i="1"/>
  <c r="F203" i="1"/>
  <c r="F249" i="1" s="1"/>
  <c r="F263" i="1" s="1"/>
  <c r="C153" i="2"/>
  <c r="G153" i="2" s="1"/>
  <c r="H540" i="1"/>
  <c r="K540" i="1" s="1"/>
  <c r="K582" i="1"/>
  <c r="K588" i="1" s="1"/>
  <c r="G637" i="1" s="1"/>
  <c r="J637" i="1" s="1"/>
  <c r="H301" i="1"/>
  <c r="H330" i="1" s="1"/>
  <c r="H344" i="1" s="1"/>
  <c r="E13" i="2"/>
  <c r="L274" i="1"/>
  <c r="E111" i="2" s="1"/>
  <c r="E120" i="2" s="1"/>
  <c r="L194" i="1"/>
  <c r="C117" i="2"/>
  <c r="F651" i="1"/>
  <c r="I651" i="1" s="1"/>
  <c r="B9" i="12"/>
  <c r="A13" i="12" s="1"/>
  <c r="L354" i="1"/>
  <c r="F519" i="1"/>
  <c r="F535" i="1" s="1"/>
  <c r="I438" i="1"/>
  <c r="G632" i="1" s="1"/>
  <c r="J632" i="1" s="1"/>
  <c r="C10" i="10"/>
  <c r="L190" i="1"/>
  <c r="H534" i="1"/>
  <c r="L374" i="1"/>
  <c r="G626" i="1" s="1"/>
  <c r="J626" i="1" s="1"/>
  <c r="G221" i="1"/>
  <c r="G249" i="1" s="1"/>
  <c r="G263" i="1" s="1"/>
  <c r="C116" i="2"/>
  <c r="C123" i="2"/>
  <c r="G103" i="1"/>
  <c r="G104" i="1" s="1"/>
  <c r="G185" i="1" s="1"/>
  <c r="G618" i="1" s="1"/>
  <c r="J618" i="1" s="1"/>
  <c r="L306" i="1"/>
  <c r="L320" i="1" s="1"/>
  <c r="D14" i="13"/>
  <c r="C14" i="13" s="1"/>
  <c r="E122" i="2"/>
  <c r="E136" i="2" s="1"/>
  <c r="C21" i="10"/>
  <c r="F104" i="1"/>
  <c r="F185" i="1" s="1"/>
  <c r="G617" i="1" s="1"/>
  <c r="J617" i="1" s="1"/>
  <c r="L269" i="1"/>
  <c r="E102" i="2" s="1"/>
  <c r="L235" i="1"/>
  <c r="H637" i="1"/>
  <c r="I588" i="1"/>
  <c r="H640" i="1" s="1"/>
  <c r="C115" i="2"/>
  <c r="C48" i="2"/>
  <c r="C55" i="2" s="1"/>
  <c r="C96" i="2" s="1"/>
  <c r="C27" i="12"/>
  <c r="A31" i="12" s="1"/>
  <c r="F5" i="13"/>
  <c r="G641" i="1"/>
  <c r="J641" i="1" s="1"/>
  <c r="J239" i="1"/>
  <c r="J249" i="1" s="1"/>
  <c r="L221" i="1"/>
  <c r="G650" i="1" s="1"/>
  <c r="G654" i="1" s="1"/>
  <c r="C18" i="10"/>
  <c r="G652" i="1"/>
  <c r="C17" i="10"/>
  <c r="C113" i="2"/>
  <c r="F652" i="1"/>
  <c r="J263" i="1" l="1"/>
  <c r="H638" i="1"/>
  <c r="J638" i="1" s="1"/>
  <c r="C136" i="2"/>
  <c r="G96" i="2"/>
  <c r="H542" i="1"/>
  <c r="H636" i="1"/>
  <c r="G627" i="1"/>
  <c r="J627" i="1" s="1"/>
  <c r="C36" i="10"/>
  <c r="F96" i="2"/>
  <c r="I652" i="1"/>
  <c r="D6" i="13"/>
  <c r="C6" i="13" s="1"/>
  <c r="C110" i="2"/>
  <c r="C120" i="2" s="1"/>
  <c r="C15" i="10"/>
  <c r="F542" i="1"/>
  <c r="K539" i="1"/>
  <c r="K542" i="1" s="1"/>
  <c r="L535" i="1"/>
  <c r="G616" i="1"/>
  <c r="J44" i="1"/>
  <c r="H611" i="1" s="1"/>
  <c r="J611" i="1" s="1"/>
  <c r="L282" i="1"/>
  <c r="L203" i="1"/>
  <c r="C102" i="2"/>
  <c r="C107" i="2" s="1"/>
  <c r="C137" i="2" s="1"/>
  <c r="C11" i="10"/>
  <c r="E101" i="2"/>
  <c r="E107" i="2" s="1"/>
  <c r="E137" i="2" s="1"/>
  <c r="D13" i="10"/>
  <c r="E33" i="13"/>
  <c r="D35" i="13" s="1"/>
  <c r="H650" i="1"/>
  <c r="H654" i="1" s="1"/>
  <c r="G662" i="1"/>
  <c r="C5" i="10" s="1"/>
  <c r="G657" i="1"/>
  <c r="C28" i="10"/>
  <c r="D16" i="10" s="1"/>
  <c r="D10" i="10"/>
  <c r="D19" i="10"/>
  <c r="D12" i="10"/>
  <c r="E96" i="2"/>
  <c r="G636" i="1"/>
  <c r="J636" i="1" s="1"/>
  <c r="G621" i="1"/>
  <c r="J621" i="1" s="1"/>
  <c r="D5" i="13"/>
  <c r="F33" i="13"/>
  <c r="G625" i="1"/>
  <c r="J625" i="1" s="1"/>
  <c r="C27" i="10"/>
  <c r="D27" i="10" l="1"/>
  <c r="L330" i="1"/>
  <c r="L344" i="1" s="1"/>
  <c r="G623" i="1" s="1"/>
  <c r="J623" i="1" s="1"/>
  <c r="D31" i="13"/>
  <c r="C31" i="13" s="1"/>
  <c r="F650" i="1"/>
  <c r="L249" i="1"/>
  <c r="L263" i="1" s="1"/>
  <c r="G622" i="1" s="1"/>
  <c r="J622" i="1" s="1"/>
  <c r="H657" i="1"/>
  <c r="H662" i="1"/>
  <c r="C6" i="10" s="1"/>
  <c r="D21" i="10"/>
  <c r="C5" i="13"/>
  <c r="J616" i="1"/>
  <c r="C41" i="10"/>
  <c r="C30" i="10"/>
  <c r="D22" i="10"/>
  <c r="D28" i="10" s="1"/>
  <c r="D23" i="10"/>
  <c r="D26" i="10"/>
  <c r="D24" i="10"/>
  <c r="D25" i="10"/>
  <c r="D17" i="10"/>
  <c r="D20" i="10"/>
  <c r="D18" i="10"/>
  <c r="D15" i="10"/>
  <c r="D11" i="10"/>
  <c r="D33" i="13" l="1"/>
  <c r="D36" i="13" s="1"/>
  <c r="D37" i="10"/>
  <c r="D40" i="10"/>
  <c r="D35" i="10"/>
  <c r="D38" i="10"/>
  <c r="D39" i="10"/>
  <c r="F654" i="1"/>
  <c r="I650" i="1"/>
  <c r="I654" i="1" s="1"/>
  <c r="D36" i="10"/>
  <c r="H646" i="1"/>
  <c r="I657" i="1" l="1"/>
  <c r="I662" i="1"/>
  <c r="C7" i="10" s="1"/>
  <c r="F662" i="1"/>
  <c r="C4" i="10" s="1"/>
  <c r="F657" i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1FE9497-D1BD-444D-9EE9-A674FBB137C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E72A642-890B-4E9A-8924-0BAA3C123B8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5C39AE5-A382-48AE-B6F7-22DF11534E24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C5AEE31-0F5B-4CAA-AE3C-2A8102104586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9C5AD94-F15E-4FA5-8E20-F15BF08C4F2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09B7C24-3940-4B1E-8D2A-BC27727CCB3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BCE1DC1-B090-4D51-B1F0-BAE193608411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A120D9D-EBF0-4F28-B2F6-3AD5F982260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FC34B5D4-4869-4840-97C5-AE20A981FCE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1A19ECE-0782-4383-AF01-1BB48D91E05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B93543F4-0D6B-43CA-820B-EFFC2DDAAA51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03FBDEE-968B-43FE-A127-78269B70B1E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<sst xmlns="http://schemas.openxmlformats.org/spreadsheetml/2006/main" count="3864" uniqueCount="901">
  <si>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</si>
  <si>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</si>
  <si>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</si>
  <si>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</si>
  <si>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</si>
  <si>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</si>
  <si>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</si>
  <si>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</si>
  <si>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</si>
  <si>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</si>
  <si>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</si>
  <si>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</si>
  <si>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</si>
  <si>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</si>
  <si>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</si>
  <si>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</si>
  <si>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</si>
  <si>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</si>
  <si>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</si>
  <si>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</si>
  <si>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</si>
  <si>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</si>
  <si>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</si>
  <si>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</si>
  <si>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</si>
  <si>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</si>
  <si>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</si>
  <si>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</si>
  <si>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</si>
  <si>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</si>
  <si>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</si>
  <si>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</si>
  <si>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</si>
  <si>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</si>
  <si>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</si>
  <si>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</si>
  <si>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</si>
  <si>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</si>
  <si>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</si>
  <si>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</si>
  <si>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</si>
  <si>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</si>
  <si>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</si>
  <si>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</si>
  <si>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</si>
  <si>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</si>
  <si>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</si>
  <si>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</si>
  <si>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</si>
  <si>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</si>
  <si>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</si>
  <si>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</si>
  <si>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</si>
  <si>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</si>
  <si>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</si>
  <si>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</si>
  <si>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</si>
  <si>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</si>
  <si>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</si>
  <si>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</si>
  <si>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</si>
  <si>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</si>
  <si>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</si>
  <si>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</si>
  <si>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</si>
  <si>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</si>
  <si>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</si>
  <si>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</si>
  <si>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</si>
  <si>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</si>
  <si>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</si>
  <si>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</si>
  <si>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</si>
  <si>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</si>
  <si>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</si>
  <si>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</si>
  <si>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</si>
  <si>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</si>
  <si>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</si>
  <si>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</si>
  <si>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</si>
  <si>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</si>
  <si>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</si>
  <si>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</si>
  <si>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</si>
  <si>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</si>
  <si>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</si>
  <si>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</si>
  <si>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</si>
  <si>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</si>
  <si>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</si>
  <si>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</si>
  <si>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</si>
  <si>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</si>
  <si>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</si>
  <si>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</si>
  <si>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</si>
  <si>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</si>
  <si>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</si>
  <si>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</si>
  <si>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</si>
  <si>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</si>
  <si>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</si>
  <si>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</si>
  <si>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</si>
  <si>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</si>
  <si>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</si>
  <si>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</si>
  <si>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</si>
  <si>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</si>
  <si>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</si>
  <si>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</si>
  <si>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</si>
  <si>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</si>
  <si>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</si>
  <si>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</si>
  <si>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</si>
  <si>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</si>
  <si>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</si>
  <si>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</si>
  <si>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</si>
  <si>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</si>
  <si>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</si>
  <si>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</si>
  <si>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</si>
  <si>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</si>
  <si>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</si>
  <si>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</si>
  <si>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</si>
  <si>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</si>
  <si>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</si>
  <si>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</si>
  <si>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</si>
  <si>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</si>
  <si>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</si>
  <si>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</si>
  <si>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</si>
  <si>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</si>
  <si>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</si>
  <si>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</si>
  <si>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</si>
  <si>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</si>
  <si>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</si>
  <si>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</si>
  <si>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</si>
  <si>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</si>
  <si>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</si>
  <si>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</si>
  <si>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</si>
  <si>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</si>
  <si>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</si>
  <si>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</si>
  <si>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</si>
  <si>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</si>
  <si>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</si>
  <si>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</si>
  <si>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</si>
  <si>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</si>
  <si>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</si>
  <si>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</si>
  <si>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</si>
  <si>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</si>
  <si>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</si>
  <si>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</si>
  <si>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</si>
  <si>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</si>
  <si>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</si>
  <si>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</si>
  <si>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</si>
  <si>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</si>
  <si>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</si>
  <si>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</si>
  <si>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</si>
  <si>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</si>
  <si>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</si>
  <si>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</si>
  <si>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</si>
  <si>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</si>
  <si>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</si>
  <si>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</si>
  <si>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</si>
  <si>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</si>
  <si>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</si>
  <si>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</si>
  <si>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</si>
  <si>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</si>
  <si>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</si>
  <si>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</si>
  <si>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</si>
  <si>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</si>
  <si>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</si>
  <si>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</si>
  <si>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</si>
  <si>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</si>
  <si>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</si>
  <si>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</si>
  <si>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</si>
  <si>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</si>
  <si>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</si>
  <si>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</si>
  <si>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</si>
  <si>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</si>
  <si>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</si>
  <si>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</si>
  <si>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</si>
  <si>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</si>
  <si>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</si>
  <si>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</si>
  <si>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</si>
  <si>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</si>
  <si>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</si>
  <si>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</si>
  <si>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</si>
  <si>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</si>
  <si>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</si>
  <si>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</si>
  <si>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</si>
  <si>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</si>
  <si>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</si>
  <si>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</si>
  <si>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</si>
  <si>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</si>
  <si>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</si>
  <si>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</si>
  <si>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</si>
  <si>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</si>
  <si>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</si>
  <si>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</si>
  <si>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</si>
  <si>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</si>
  <si>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</si>
  <si>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</si>
  <si>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</si>
  <si>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</si>
  <si>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</si>
  <si>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</si>
  <si>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</si>
  <si>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</si>
  <si>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</si>
  <si>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</si>
  <si>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</si>
  <si>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</si>
  <si>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</si>
  <si>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</si>
  <si>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</si>
  <si>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</si>
  <si>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</si>
  <si>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</si>
  <si>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</si>
  <si>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</si>
  <si>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</si>
  <si>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</si>
  <si>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</si>
  <si>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</si>
  <si>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</si>
  <si>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</si>
  <si>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</si>
  <si>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</si>
  <si>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</si>
  <si>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</si>
  <si>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</si>
  <si>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</si>
  <si>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</si>
  <si>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</si>
  <si>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</si>
  <si>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</si>
  <si>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</si>
  <si>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</si>
  <si>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</si>
  <si>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</si>
  <si>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</si>
  <si>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</si>
  <si>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</si>
  <si>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</si>
  <si>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</si>
  <si>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</si>
  <si>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</si>
  <si>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</si>
  <si>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</si>
  <si>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</si>
  <si>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</si>
  <si>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</si>
  <si>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</si>
  <si>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</si>
  <si>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</si>
  <si>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</si>
  <si>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</si>
  <si>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</si>
  <si>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</si>
  <si>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</si>
  <si>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</si>
  <si>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</si>
  <si>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</si>
  <si>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</si>
  <si>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</si>
  <si>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</si>
  <si>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</si>
  <si>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</si>
  <si>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</si>
  <si>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</si>
  <si>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</si>
  <si>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</si>
  <si>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</si>
  <si>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</si>
  <si>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</si>
  <si>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</si>
  <si>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</si>
  <si>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</si>
  <si>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</si>
  <si>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</si>
  <si>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</si>
  <si>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</si>
  <si>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</si>
  <si>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</si>
  <si>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</si>
  <si>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</si>
  <si>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</si>
  <si>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</si>
  <si>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</si>
  <si>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</si>
  <si>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</si>
  <si>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</si>
  <si>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</si>
  <si>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</si>
  <si>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</si>
  <si>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</si>
  <si>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</si>
  <si>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</si>
  <si>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</si>
  <si>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</si>
  <si>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</si>
  <si>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</si>
  <si>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</si>
  <si>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</si>
  <si>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</si>
  <si>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</si>
  <si>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</si>
  <si>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</si>
  <si>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</si>
  <si>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</si>
  <si>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</si>
  <si>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</si>
  <si>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</si>
  <si>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</si>
  <si>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</si>
  <si>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</si>
  <si>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</si>
  <si>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</si>
  <si>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</si>
  <si>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</si>
  <si>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</si>
  <si>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</si>
  <si>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</si>
  <si>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</si>
  <si>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</si>
  <si>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</si>
  <si>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</si>
  <si>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</si>
  <si>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</si>
  <si>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</si>
  <si>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</si>
  <si>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</si>
  <si>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</si>
  <si>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</si>
  <si>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</si>
  <si>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</si>
  <si>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</si>
  <si>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</si>
  <si>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</si>
  <si>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</si>
  <si>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</si>
  <si>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</si>
  <si>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</si>
  <si>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</si>
  <si>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</si>
  <si>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</si>
  <si>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</si>
  <si>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</si>
  <si>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</si>
  <si>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</si>
  <si>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</si>
  <si>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</si>
  <si>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</si>
  <si>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</si>
  <si>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</si>
  <si>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</si>
  <si>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</si>
  <si>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</si>
  <si>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</si>
  <si>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</si>
  <si>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</si>
  <si>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</si>
  <si>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</si>
  <si>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</si>
  <si>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</si>
  <si>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</si>
  <si>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</si>
  <si>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</si>
  <si>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</si>
  <si>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</si>
  <si>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</si>
  <si>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</si>
  <si>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</si>
  <si>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</si>
  <si>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</si>
  <si>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</si>
  <si>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</si>
  <si>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</si>
  <si>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</si>
  <si>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</si>
  <si>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</si>
  <si>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</si>
  <si>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</si>
  <si>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</si>
  <si>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</si>
  <si>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</si>
  <si>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</si>
  <si>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</si>
  <si>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</si>
  <si>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</si>
  <si>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</si>
  <si>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</si>
  <si>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</si>
  <si>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</si>
  <si>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</si>
  <si>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</si>
  <si>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</si>
  <si>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</si>
  <si>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</si>
  <si>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</si>
  <si>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</si>
  <si>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</si>
  <si>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</si>
  <si>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</si>
  <si>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</si>
  <si>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</si>
  <si>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</si>
  <si>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</si>
  <si>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</si>
  <si>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</si>
  <si>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</si>
  <si>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</si>
  <si>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</si>
  <si>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</si>
  <si>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</si>
  <si>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</si>
  <si>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</si>
  <si>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</si>
  <si>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</si>
  <si>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</si>
  <si>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</si>
  <si>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</si>
  <si>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</si>
  <si>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</si>
  <si>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</si>
  <si>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</si>
  <si>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</si>
  <si>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</si>
  <si>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</si>
  <si>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</si>
  <si>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</si>
  <si>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</si>
  <si>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</si>
  <si>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</si>
  <si>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</si>
  <si>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</si>
  <si>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</si>
  <si>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</si>
  <si>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</si>
  <si>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</si>
  <si>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</si>
  <si>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</si>
  <si>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</si>
  <si>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</si>
  <si>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</si>
  <si>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</si>
  <si>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</si>
  <si>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</si>
  <si>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</si>
  <si>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</si>
  <si>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</si>
  <si>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</si>
  <si>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</si>
  <si>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</si>
  <si>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</si>
  <si>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</si>
  <si>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</si>
  <si>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</si>
  <si>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</si>
  <si>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</si>
  <si>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</si>
  <si>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</si>
  <si>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</si>
  <si>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</si>
  <si>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</si>
  <si>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</si>
  <si>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</si>
  <si>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</si>
  <si>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</si>
  <si>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</si>
  <si>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</si>
  <si>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</si>
  <si>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</si>
  <si>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</si>
  <si>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</si>
  <si>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</si>
  <si>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</si>
  <si>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</si>
  <si>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</si>
  <si>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</si>
  <si>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</si>
  <si>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</si>
  <si>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</si>
  <si>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</si>
  <si>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</si>
  <si>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</si>
  <si>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</si>
  <si>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</si>
  <si>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</si>
  <si>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</si>
  <si>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</si>
  <si>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</si>
  <si>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</si>
  <si>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</si>
  <si>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</si>
  <si>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</si>
  <si>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</si>
  <si>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</si>
  <si>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</si>
  <si>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</si>
  <si>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</si>
  <si>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</si>
  <si>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</si>
  <si>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</si>
  <si>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</si>
  <si>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</si>
  <si>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</si>
  <si>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</si>
  <si>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</si>
  <si>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</si>
  <si>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</si>
  <si>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</si>
  <si>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</si>
  <si>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</si>
  <si>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</si>
  <si>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</si>
  <si>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</si>
  <si>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</si>
  <si>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</si>
  <si>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</si>
  <si>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</si>
  <si>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</si>
  <si>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</si>
  <si>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</si>
  <si>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</si>
  <si>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</si>
  <si>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</si>
  <si>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</si>
  <si>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</si>
  <si>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</si>
  <si>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</si>
  <si>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</si>
  <si>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</si>
  <si>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</si>
  <si>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</si>
  <si>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</si>
  <si>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</si>
  <si>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</si>
  <si>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</si>
  <si>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</si>
  <si>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</si>
  <si>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</si>
  <si>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</si>
  <si>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</si>
  <si>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</si>
  <si>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</si>
  <si>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</si>
  <si>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</si>
  <si>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</si>
  <si>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</si>
  <si>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</si>
  <si>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</si>
  <si>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</si>
  <si>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</si>
  <si>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</si>
  <si>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</si>
  <si>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</si>
  <si>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</si>
  <si>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</si>
  <si>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</si>
  <si>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</si>
  <si>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</si>
  <si>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</si>
  <si>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</si>
  <si>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</si>
  <si>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</si>
  <si>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</si>
  <si>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</si>
  <si>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</si>
  <si>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</si>
  <si>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</si>
  <si>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</si>
  <si>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</si>
  <si>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</si>
  <si>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</si>
  <si>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</si>
  <si>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</si>
  <si>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</si>
  <si>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</si>
  <si>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</si>
  <si>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</si>
  <si>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</si>
  <si>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</si>
  <si>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</si>
  <si>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</si>
  <si>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</si>
  <si>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</si>
  <si>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</si>
  <si>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</si>
  <si>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</si>
  <si>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</si>
  <si>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</si>
  <si>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</si>
  <si>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</si>
  <si>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</si>
  <si>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</si>
  <si>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</si>
  <si>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</si>
  <si>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</si>
  <si>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</si>
  <si>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</si>
  <si>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</si>
  <si>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</si>
  <si>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</si>
  <si>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</si>
  <si>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</si>
  <si>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</si>
  <si>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</si>
  <si>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</si>
  <si>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</si>
  <si>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</si>
  <si>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</si>
  <si>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</si>
  <si>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</si>
  <si>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</si>
  <si>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</si>
  <si>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</si>
  <si>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</si>
  <si>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</si>
  <si>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</si>
  <si>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</si>
  <si>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</si>
  <si>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</si>
  <si>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</si>
  <si>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</si>
  <si>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</si>
  <si>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</si>
  <si>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</si>
  <si>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</si>
  <si>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</si>
  <si>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</si>
  <si>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</si>
  <si>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</si>
  <si>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</si>
  <si>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</si>
  <si>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</si>
  <si>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</si>
  <si>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</si>
  <si>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</si>
  <si>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</si>
  <si>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</si>
  <si>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</si>
  <si>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</si>
  <si>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</si>
  <si>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</si>
  <si>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</si>
  <si>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</si>
  <si>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</si>
  <si>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</si>
  <si>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</si>
  <si>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</si>
  <si>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</si>
  <si>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</si>
  <si>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</si>
  <si>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</si>
  <si>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</si>
  <si>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</si>
  <si>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</si>
  <si>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</si>
  <si>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</si>
  <si>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</si>
  <si>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</si>
  <si>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</si>
  <si>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</si>
  <si>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</si>
  <si>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</si>
  <si>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</si>
  <si>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</si>
  <si>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</si>
  <si>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</si>
  <si>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</si>
  <si>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</si>
  <si>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</si>
  <si>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</si>
  <si>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</si>
  <si>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</si>
  <si>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</si>
  <si>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</si>
  <si>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</si>
  <si>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</si>
  <si>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</si>
  <si>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</si>
  <si>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</si>
  <si>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</si>
  <si>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</si>
  <si>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</si>
  <si>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</si>
  <si>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</si>
  <si>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</si>
  <si>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</si>
  <si>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</si>
  <si>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</si>
  <si>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</si>
  <si>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</si>
  <si>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</si>
  <si>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</si>
  <si>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</si>
  <si>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</si>
  <si>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</si>
  <si>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</si>
  <si>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</si>
  <si>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</si>
  <si>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</si>
  <si>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</si>
  <si>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</si>
  <si>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</si>
  <si>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</si>
  <si>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</si>
  <si>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</si>
  <si>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</si>
  <si>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</si>
  <si>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</si>
  <si>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</si>
  <si>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</si>
  <si>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</si>
  <si>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</si>
  <si>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</si>
  <si>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</si>
  <si>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</si>
  <si>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</si>
  <si>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</si>
  <si>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</si>
  <si>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</si>
  <si>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</si>
  <si>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</si>
  <si>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</si>
  <si>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</si>
  <si>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</si>
  <si>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</si>
  <si>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</si>
  <si>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</si>
  <si>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</si>
  <si>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</si>
  <si>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</si>
  <si>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</si>
  <si>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</si>
  <si>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</si>
  <si>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</si>
  <si>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</si>
  <si>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</si>
  <si>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</si>
  <si>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</si>
  <si>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</si>
  <si>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</si>
  <si>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</si>
  <si>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</si>
  <si>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</si>
  <si>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</si>
  <si>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</si>
  <si>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</si>
  <si>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</si>
  <si>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</si>
  <si>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</si>
  <si>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</si>
  <si>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</si>
  <si>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</si>
  <si>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</si>
  <si>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</si>
  <si>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</si>
  <si>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</si>
  <si>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</si>
  <si>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</si>
  <si>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</si>
  <si>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</si>
  <si>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</si>
  <si>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</si>
  <si>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</si>
  <si>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</si>
  <si>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</si>
  <si>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</si>
  <si>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</si>
  <si>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</si>
  <si>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</si>
  <si>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</si>
  <si>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</si>
  <si>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</si>
  <si>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</si>
  <si>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</si>
  <si>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</si>
  <si>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</si>
  <si>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</si>
  <si>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</si>
  <si>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</si>
  <si>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</si>
  <si>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</si>
  <si>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</si>
  <si>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</si>
  <si>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</si>
  <si>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</si>
  <si>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</si>
  <si>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</si>
  <si>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</si>
  <si>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</si>
  <si>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</si>
  <si>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</si>
  <si>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</si>
  <si>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</si>
  <si>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</si>
  <si>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</si>
  <si>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</si>
  <si>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</si>
  <si>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</si>
  <si>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</si>
  <si>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</si>
  <si>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</si>
  <si>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</si>
  <si>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</si>
  <si>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</si>
  <si>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</si>
  <si>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</si>
  <si>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</si>
  <si>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</si>
  <si>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</si>
  <si>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</si>
  <si>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</si>
  <si>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</si>
  <si>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</si>
  <si>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</si>
  <si>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</si>
  <si>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</si>
  <si>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</si>
  <si>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</si>
  <si>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</si>
  <si>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</si>
  <si>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</si>
  <si>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</si>
  <si>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</si>
  <si>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</si>
  <si>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</si>
  <si>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</si>
  <si>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</si>
  <si>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</si>
  <si>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</si>
  <si>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</si>
  <si>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</si>
  <si>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</si>
  <si>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</si>
  <si>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</si>
  <si>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</si>
  <si>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</si>
  <si>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</si>
  <si>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</si>
  <si>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</si>
  <si>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</si>
  <si>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</si>
  <si>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</si>
  <si>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</si>
  <si>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</si>
  <si>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</si>
  <si>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</si>
  <si>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</si>
  <si>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</si>
  <si>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</si>
  <si>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</si>
  <si>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</si>
  <si>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</si>
  <si>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</si>
  <si>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</si>
  <si>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</si>
  <si>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</si>
  <si>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</si>
  <si>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</si>
  <si>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</si>
  <si>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</si>
  <si>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07/99</t>
  </si>
  <si>
    <t>08/19</t>
  </si>
  <si>
    <t>08/02</t>
  </si>
  <si>
    <t>08/12</t>
  </si>
  <si>
    <t>08/06</t>
  </si>
  <si>
    <t>08/16</t>
  </si>
  <si>
    <t>Keene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</si>
</sst>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556B-460A-4EFB-B6FB-7FC30519E689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900</v>
      </c>
      <c r="B2" s="21">
        <v>279</v>
      </c>
      <c r="C2" s="21">
        <v>279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6287539.52+1100-623120.49</f>
        <v>5665519.0299999993</v>
      </c>
      <c r="G9" s="18">
        <f>265404.84+300</f>
        <v>265704.84000000003</v>
      </c>
      <c r="H9" s="18">
        <f>23570.75+182136.45+176.99+205360.87</f>
        <v>411245.06</v>
      </c>
      <c r="I9" s="18">
        <v>4938455.5999999996</v>
      </c>
      <c r="J9" s="67">
        <f>SUM(I431)</f>
        <v>2307.7600000000002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375772.59</v>
      </c>
      <c r="G12" s="18"/>
      <c r="H12" s="18">
        <f>7453.1</f>
        <v>7453.1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181954.49</v>
      </c>
      <c r="G13" s="18"/>
      <c r="H13" s="18">
        <f>408918.66+212.5</f>
        <v>409131.16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30858.7</v>
      </c>
      <c r="G14" s="18"/>
      <c r="H14" s="18">
        <f>20097.58</f>
        <v>20097.580000000002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10218</v>
      </c>
      <c r="G17" s="18"/>
      <c r="H17" s="18">
        <f>975+500+1000</f>
        <v>2475</v>
      </c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6264322.8099999996</v>
      </c>
      <c r="G19" s="41">
        <f>SUM(G9:G18)</f>
        <v>265704.84000000003</v>
      </c>
      <c r="H19" s="41">
        <f>SUM(H9:H18)</f>
        <v>850401.89999999991</v>
      </c>
      <c r="I19" s="41">
        <f>SUM(I9:I18)</f>
        <v>4938455.5999999996</v>
      </c>
      <c r="J19" s="41">
        <f>SUM(J9:J18)</f>
        <v>2307.7600000000002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f>375772.59+7453.1</f>
        <v>383225.69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27703.72</v>
      </c>
      <c r="G24" s="18"/>
      <c r="H24" s="18">
        <f>1260.1</f>
        <v>1260.0999999999999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259892.44</v>
      </c>
      <c r="G25" s="18"/>
      <c r="H25" s="18">
        <f>9973.36+560.11+1133.44+34033.75</f>
        <v>45700.66</v>
      </c>
      <c r="I25" s="18">
        <v>1405291.62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>
        <f>23644709+317619.8</f>
        <v>23962328.800000001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>
        <v>9593085.3000000007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220341.67</v>
      </c>
      <c r="G29" s="18"/>
      <c r="H29" s="18">
        <f>15434.51+795.83</f>
        <v>16230.34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2617509.9900000002</v>
      </c>
      <c r="G31" s="18"/>
      <c r="H31" s="18">
        <f>43608.22+55701</f>
        <v>99309.22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3125447.8200000003</v>
      </c>
      <c r="G33" s="41">
        <f>SUM(G23:G32)</f>
        <v>0</v>
      </c>
      <c r="H33" s="41">
        <f>SUM(H23:H32)</f>
        <v>545726.01</v>
      </c>
      <c r="I33" s="41">
        <f>SUM(I23:I32)</f>
        <v>34960705.719999999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460252.18</v>
      </c>
      <c r="G37" s="18">
        <v>6332.61</v>
      </c>
      <c r="H37" s="18">
        <v>2256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100000</v>
      </c>
      <c r="G41" s="18">
        <v>259372.23</v>
      </c>
      <c r="H41" s="18">
        <f>133136.27+169283.62</f>
        <v>302419.89</v>
      </c>
      <c r="I41" s="18">
        <v>-30022250.120000001</v>
      </c>
      <c r="J41" s="13">
        <f>SUM(I449)</f>
        <v>2307.7600000000002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2578622.81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3138874.99</v>
      </c>
      <c r="G43" s="41">
        <f>SUM(G35:G42)</f>
        <v>265704.84000000003</v>
      </c>
      <c r="H43" s="41">
        <f>SUM(H35:H42)</f>
        <v>304675.89</v>
      </c>
      <c r="I43" s="41">
        <f>SUM(I35:I42)</f>
        <v>-30022250.120000001</v>
      </c>
      <c r="J43" s="41">
        <f>SUM(J35:J42)</f>
        <v>2307.7600000000002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6264322.8100000005</v>
      </c>
      <c r="G44" s="41">
        <f>G43+G33</f>
        <v>265704.84000000003</v>
      </c>
      <c r="H44" s="41">
        <f>H43+H33</f>
        <v>850401.9</v>
      </c>
      <c r="I44" s="41">
        <f>I43+I33</f>
        <v>4938455.5999999978</v>
      </c>
      <c r="J44" s="41">
        <f>J43+J33</f>
        <v>2307.7600000000002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24719444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24719444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55412</v>
      </c>
      <c r="G55" s="24" t="s">
        <v>312</v>
      </c>
      <c r="H55" s="18">
        <f>111989.75</f>
        <v>111989.75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7570</v>
      </c>
      <c r="G56" s="24" t="s">
        <v>312</v>
      </c>
      <c r="H56" s="18">
        <f>14204</f>
        <v>14204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>
        <v>160210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>
        <v>80378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6643275.5199999996</v>
      </c>
      <c r="G60" s="24" t="s">
        <v>312</v>
      </c>
      <c r="H60" s="18">
        <v>71262.5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3630046.78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64746.53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10401050.829999998</v>
      </c>
      <c r="G71" s="45" t="s">
        <v>312</v>
      </c>
      <c r="H71" s="41">
        <f>SUM(H55:H70)</f>
        <v>438044.25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22784.15</v>
      </c>
      <c r="G88" s="18">
        <v>604.37</v>
      </c>
      <c r="H88" s="18"/>
      <c r="I88" s="18"/>
      <c r="J88" s="18">
        <v>4.5999999999999996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402768.73+37860.16+452830+30409.78+24912.6</f>
        <v>948781.27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85407.81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26000</v>
      </c>
      <c r="G94" s="18"/>
      <c r="H94" s="18">
        <v>81690.12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>
        <v>6378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42881.120000000003</v>
      </c>
      <c r="G97" s="18"/>
      <c r="H97" s="18">
        <v>64186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8890.23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99609.49+498+68759.64</f>
        <v>168867.13</v>
      </c>
      <c r="G102" s="18">
        <v>20500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354830.44</v>
      </c>
      <c r="G103" s="41">
        <f>SUM(G88:G102)</f>
        <v>969885.64</v>
      </c>
      <c r="H103" s="41">
        <f>SUM(H88:H102)</f>
        <v>152254.12</v>
      </c>
      <c r="I103" s="41">
        <f>SUM(I88:I102)</f>
        <v>0</v>
      </c>
      <c r="J103" s="41">
        <f>SUM(J88:J102)</f>
        <v>4.5999999999999996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35475325.269999996</v>
      </c>
      <c r="G104" s="41">
        <f>G52+G103</f>
        <v>969885.64</v>
      </c>
      <c r="H104" s="41">
        <f>H52+H71+H86+H103</f>
        <v>590298.37</v>
      </c>
      <c r="I104" s="41">
        <f>I52+I103</f>
        <v>0</v>
      </c>
      <c r="J104" s="41">
        <f>J52+J103</f>
        <v>4.5999999999999996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7670883.9400000004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4150521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2943080.06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14764485.000000002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898015.92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1179585.54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173517.12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12739.38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34950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2251118.58</v>
      </c>
      <c r="G128" s="41">
        <f>SUM(G115:G127)</f>
        <v>12739.38</v>
      </c>
      <c r="H128" s="41">
        <f>SUM(H115:H127)</f>
        <v>34950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17015603.580000002</v>
      </c>
      <c r="G132" s="41">
        <f>G113+SUM(G128:G129)</f>
        <v>12739.38</v>
      </c>
      <c r="H132" s="41">
        <f>H113+SUM(H128:H131)</f>
        <v>34950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578007.53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377522.98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241857.3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>
        <v>149818.28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505653.21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792152.29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583239.19999999995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5719.75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583239.19999999995</v>
      </c>
      <c r="G154" s="41">
        <f>SUM(G142:G153)</f>
        <v>511372.96</v>
      </c>
      <c r="H154" s="41">
        <f>SUM(H142:H153)</f>
        <v>2139358.38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583239.19999999995</v>
      </c>
      <c r="G161" s="41">
        <f>G139+G154+SUM(G155:G160)</f>
        <v>511372.96</v>
      </c>
      <c r="H161" s="41">
        <f>H139+H154+SUM(H155:H160)</f>
        <v>2139358.38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>
        <v>1000706.92</v>
      </c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1000706.92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1010000</v>
      </c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1010000</v>
      </c>
      <c r="G184" s="41">
        <f>G175+SUM(G180:G183)</f>
        <v>0</v>
      </c>
      <c r="H184" s="41">
        <f>+H175+SUM(H180:H183)</f>
        <v>0</v>
      </c>
      <c r="I184" s="41">
        <f>I169+I175+SUM(I180:I183)</f>
        <v>1000706.92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54084168.049999997</v>
      </c>
      <c r="G185" s="47">
        <f>G104+G132+G161+G184</f>
        <v>1493997.98</v>
      </c>
      <c r="H185" s="47">
        <f>H104+H132+H161+H184</f>
        <v>2764606.75</v>
      </c>
      <c r="I185" s="47">
        <f>I104+I132+I161+I184</f>
        <v>1000706.92</v>
      </c>
      <c r="J185" s="47">
        <f>J104+J132+J184</f>
        <v>4.5999999999999996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4887083.87</v>
      </c>
      <c r="G189" s="18">
        <v>1619427.63</v>
      </c>
      <c r="H189" s="18">
        <v>169841.18</v>
      </c>
      <c r="I189" s="18">
        <v>193052.46</v>
      </c>
      <c r="J189" s="18">
        <v>27276.25</v>
      </c>
      <c r="K189" s="18">
        <v>1899.72</v>
      </c>
      <c r="L189" s="19">
        <f>SUM(F189:K189)</f>
        <v>6898581.1099999994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2788619.05+83352.66+500</f>
        <v>2872471.71</v>
      </c>
      <c r="G190" s="18">
        <f>888131.11+39192.52+77.3</f>
        <v>927400.93</v>
      </c>
      <c r="H190" s="18">
        <v>755877.6</v>
      </c>
      <c r="I190" s="18">
        <f>21501.16+2185.65</f>
        <v>23686.81</v>
      </c>
      <c r="J190" s="18">
        <f>1794.46+330.62</f>
        <v>2125.08</v>
      </c>
      <c r="K190" s="18">
        <v>22661.84</v>
      </c>
      <c r="L190" s="19">
        <f>SUM(F190:K190)</f>
        <v>4604223.97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7000</v>
      </c>
      <c r="G192" s="18">
        <v>981.12</v>
      </c>
      <c r="H192" s="18">
        <f>780+418.25</f>
        <v>1198.25</v>
      </c>
      <c r="I192" s="18"/>
      <c r="J192" s="18"/>
      <c r="K192" s="18"/>
      <c r="L192" s="19">
        <f>SUM(F192:K192)</f>
        <v>9179.369999999999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6285.76+298812.11+176888.84+262918.77+600518.94+174235.92</f>
        <v>1519660.3399999999</v>
      </c>
      <c r="G194" s="18">
        <f>500.76+116387.7+58700.04+84880.32+217092.55+80993.91</f>
        <v>558555.28</v>
      </c>
      <c r="H194" s="18">
        <f>683.81+1655.47+30935.45+339.65+55150+50859.5</f>
        <v>139623.88</v>
      </c>
      <c r="I194" s="18">
        <f>33.82+497.51+4360.99+6555.52+1660.6+1706.64+1026.5</f>
        <v>15841.58</v>
      </c>
      <c r="J194" s="18">
        <f>576.3</f>
        <v>576.29999999999995</v>
      </c>
      <c r="K194" s="18"/>
      <c r="L194" s="19">
        <f t="shared" ref="L194:L200" si="0">SUM(F194:K194)</f>
        <v>2234257.38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4550+8300+11069.74+255399.96</f>
        <v>279319.7</v>
      </c>
      <c r="G195" s="18">
        <f>703.16+1193.3+21600.97+6597.01+97646.75</f>
        <v>127741.19</v>
      </c>
      <c r="H195" s="18">
        <f>5623.96+38261.7+2652.72+30622.5</f>
        <v>77160.88</v>
      </c>
      <c r="I195" s="18">
        <f>263.24+23779.28+10779.49</f>
        <v>34822.01</v>
      </c>
      <c r="J195" s="18">
        <v>5263.65</v>
      </c>
      <c r="K195" s="18"/>
      <c r="L195" s="19">
        <f t="shared" si="0"/>
        <v>524307.43000000005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5117.01+500+1650+1800+169364.27</f>
        <v>178431.28</v>
      </c>
      <c r="G196" s="18">
        <f>6273.08+417.45+39.85+131.5+143.46+53947.49+9749.79</f>
        <v>70702.62</v>
      </c>
      <c r="H196" s="18">
        <f>9600+25021.38+428966+3831.31+2510.65</f>
        <v>469929.34</v>
      </c>
      <c r="I196" s="18">
        <f>27305.81+2282.7</f>
        <v>29588.510000000002</v>
      </c>
      <c r="J196" s="18"/>
      <c r="K196" s="18">
        <f>4479.69+5942.15+32.3+865</f>
        <v>11319.14</v>
      </c>
      <c r="L196" s="19">
        <f t="shared" si="0"/>
        <v>759970.89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739589.26</v>
      </c>
      <c r="G197" s="18">
        <v>217290.09</v>
      </c>
      <c r="H197" s="18">
        <v>31884.31</v>
      </c>
      <c r="I197" s="18">
        <f>6059.91+34</f>
        <v>6093.91</v>
      </c>
      <c r="J197" s="18">
        <v>1528.56</v>
      </c>
      <c r="K197" s="18">
        <v>3504</v>
      </c>
      <c r="L197" s="19">
        <f t="shared" si="0"/>
        <v>999890.13000000012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f>622.53</f>
        <v>622.53</v>
      </c>
      <c r="I198" s="18"/>
      <c r="J198" s="18"/>
      <c r="K198" s="18">
        <v>844.09</v>
      </c>
      <c r="L198" s="19">
        <f t="shared" si="0"/>
        <v>1466.62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488530.45</v>
      </c>
      <c r="G199" s="18">
        <v>218063.55</v>
      </c>
      <c r="H199" s="18">
        <f>143777.16+24007.41+129455.11</f>
        <v>297239.67999999999</v>
      </c>
      <c r="I199" s="18">
        <v>491152.37</v>
      </c>
      <c r="J199" s="18">
        <v>15656.54</v>
      </c>
      <c r="K199" s="18">
        <v>1592.9</v>
      </c>
      <c r="L199" s="19">
        <f t="shared" si="0"/>
        <v>1512235.4899999998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230964.01+430491.44+19568</f>
        <v>681023.45</v>
      </c>
      <c r="I200" s="18"/>
      <c r="J200" s="18"/>
      <c r="K200" s="18"/>
      <c r="L200" s="19">
        <f t="shared" si="0"/>
        <v>681023.45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f>10690.55+114407.03</f>
        <v>125097.58</v>
      </c>
      <c r="G201" s="18">
        <f>7096.05+44539.76</f>
        <v>51635.810000000005</v>
      </c>
      <c r="H201" s="18">
        <f>2671.17+3731.21+14949.69</f>
        <v>21352.07</v>
      </c>
      <c r="I201" s="18">
        <f>188.98+32902.81</f>
        <v>33091.79</v>
      </c>
      <c r="J201" s="18">
        <f>67.49+119802.05</f>
        <v>119869.54000000001</v>
      </c>
      <c r="K201" s="18"/>
      <c r="L201" s="19">
        <f>SUM(F201:K201)</f>
        <v>351046.79000000004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11097184.189999998</v>
      </c>
      <c r="G203" s="41">
        <f t="shared" si="1"/>
        <v>3791798.2199999997</v>
      </c>
      <c r="H203" s="41">
        <f t="shared" si="1"/>
        <v>2645753.17</v>
      </c>
      <c r="I203" s="41">
        <f t="shared" si="1"/>
        <v>827329.44</v>
      </c>
      <c r="J203" s="41">
        <f t="shared" si="1"/>
        <v>172295.92</v>
      </c>
      <c r="K203" s="41">
        <f t="shared" si="1"/>
        <v>41821.689999999995</v>
      </c>
      <c r="L203" s="41">
        <f t="shared" si="1"/>
        <v>18576182.629999995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2853214.75</v>
      </c>
      <c r="G207" s="18">
        <v>992306.72</v>
      </c>
      <c r="H207" s="18">
        <v>4094.17</v>
      </c>
      <c r="I207" s="18">
        <v>107401.22</v>
      </c>
      <c r="J207" s="18">
        <v>32214.240000000002</v>
      </c>
      <c r="K207" s="18"/>
      <c r="L207" s="19">
        <f>SUM(F207:K207)</f>
        <v>3989231.1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1031936.85+2272</f>
        <v>1034208.85</v>
      </c>
      <c r="G208" s="18">
        <f>392744+352.46</f>
        <v>393096.46</v>
      </c>
      <c r="H208" s="18">
        <f>505396.56+9009.5</f>
        <v>514406.06</v>
      </c>
      <c r="I208" s="18">
        <v>12728.7</v>
      </c>
      <c r="J208" s="18">
        <v>1560.54</v>
      </c>
      <c r="K208" s="18">
        <v>6988.26</v>
      </c>
      <c r="L208" s="19">
        <f>SUM(F208:K208)</f>
        <v>1962988.87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42335.8+29185+2462.5+5690</f>
        <v>79673.3</v>
      </c>
      <c r="G210" s="18">
        <f>5639.42+4365.81+393.7+856.15</f>
        <v>11255.08</v>
      </c>
      <c r="H210" s="18">
        <f>4853.75+7053</f>
        <v>11906.75</v>
      </c>
      <c r="I210" s="18">
        <f>5127.64+15607.81</f>
        <v>20735.45</v>
      </c>
      <c r="J210" s="18"/>
      <c r="K210" s="18">
        <v>1225</v>
      </c>
      <c r="L210" s="19">
        <f>SUM(F210:K210)</f>
        <v>124795.58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4190.68+169899.86+85676.56+120429.14+59900.88+15599.99+104140.14</f>
        <v>559837.25</v>
      </c>
      <c r="G212" s="18">
        <f>334.1+71749.33+41660.59+40368.85+14335.52+8388.13+43752.96</f>
        <v>220589.47999999998</v>
      </c>
      <c r="H212" s="18">
        <f>9180+58398.75+5600+10100</f>
        <v>83278.75</v>
      </c>
      <c r="I212" s="18">
        <f>22+309.2+3291.46+1709.95+448.66+403.44</f>
        <v>6184.7099999999991</v>
      </c>
      <c r="J212" s="18">
        <f>93+1838</f>
        <v>1931</v>
      </c>
      <c r="K212" s="18">
        <f>120+100</f>
        <v>220</v>
      </c>
      <c r="L212" s="19">
        <f t="shared" ref="L212:L218" si="2">SUM(F212:K212)</f>
        <v>872041.19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1400+7300+10126.53+7379.84+104713.14</f>
        <v>130919.51</v>
      </c>
      <c r="G213" s="18">
        <f>216.48+1128.57+16984.09+4398.02+46937.88</f>
        <v>69665.039999999994</v>
      </c>
      <c r="H213" s="18">
        <f>27006.89+408+3044.59+2135</f>
        <v>32594.48</v>
      </c>
      <c r="I213" s="18">
        <f>65.5+1195.36+17325.78+5968.25</f>
        <v>24554.89</v>
      </c>
      <c r="J213" s="18">
        <v>4400.79</v>
      </c>
      <c r="K213" s="18">
        <f>2032.38+322</f>
        <v>2354.38</v>
      </c>
      <c r="L213" s="19">
        <f t="shared" si="2"/>
        <v>264489.08999999997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3670.63+1100+1200+78329.69</f>
        <v>84300.32</v>
      </c>
      <c r="G214" s="18">
        <f>5302.72+299.11+87.68+95.64+24673.66+6500</f>
        <v>36958.81</v>
      </c>
      <c r="H214" s="18">
        <f>2249.28+6400+16691.92+285977+1673.77</f>
        <v>312991.97000000003</v>
      </c>
      <c r="I214" s="18">
        <v>11016.22</v>
      </c>
      <c r="J214" s="18"/>
      <c r="K214" s="18">
        <f>2987.43+3955.44+21.5</f>
        <v>6964.37</v>
      </c>
      <c r="L214" s="19">
        <f t="shared" si="2"/>
        <v>452231.69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501535.61</v>
      </c>
      <c r="G215" s="18">
        <v>174457.28</v>
      </c>
      <c r="H215" s="18">
        <f>26770.1+1172.5</f>
        <v>27942.6</v>
      </c>
      <c r="I215" s="18">
        <v>1022.1</v>
      </c>
      <c r="J215" s="18">
        <v>1967.3</v>
      </c>
      <c r="K215" s="18">
        <v>4802</v>
      </c>
      <c r="L215" s="19">
        <f t="shared" si="2"/>
        <v>711726.89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>
        <v>399.36</v>
      </c>
      <c r="I216" s="18"/>
      <c r="J216" s="18"/>
      <c r="K216" s="18"/>
      <c r="L216" s="19">
        <f t="shared" si="2"/>
        <v>399.36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299483.1</f>
        <v>299483.09999999998</v>
      </c>
      <c r="G217" s="18">
        <v>134118.28</v>
      </c>
      <c r="H217" s="18">
        <f>94829.79+12795</f>
        <v>107624.79</v>
      </c>
      <c r="I217" s="18">
        <v>272570.84999999998</v>
      </c>
      <c r="J217" s="18">
        <v>9577.82</v>
      </c>
      <c r="K217" s="18">
        <v>893.86</v>
      </c>
      <c r="L217" s="19">
        <f t="shared" si="2"/>
        <v>824268.7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3911</v>
      </c>
      <c r="G218" s="18">
        <v>509.8</v>
      </c>
      <c r="H218" s="18">
        <f>153976.98+146535.34+16000+8238.87</f>
        <v>324751.19</v>
      </c>
      <c r="I218" s="18"/>
      <c r="J218" s="18"/>
      <c r="K218" s="18"/>
      <c r="L218" s="19">
        <f t="shared" si="2"/>
        <v>329171.99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f>7127.05+66613.77</f>
        <v>73740.820000000007</v>
      </c>
      <c r="G219" s="18">
        <f>4730.67+29870.88</f>
        <v>34601.550000000003</v>
      </c>
      <c r="H219" s="18">
        <f>1748.15+2512.06+10849.3</f>
        <v>15109.509999999998</v>
      </c>
      <c r="I219" s="18">
        <f>127.33+22151.81</f>
        <v>22279.140000000003</v>
      </c>
      <c r="J219" s="18">
        <f>45+80317.22</f>
        <v>80362.22</v>
      </c>
      <c r="K219" s="18"/>
      <c r="L219" s="19">
        <f>SUM(F219:K219)</f>
        <v>226093.24000000002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5620824.5100000007</v>
      </c>
      <c r="G221" s="41">
        <f>SUM(G207:G220)</f>
        <v>2067558.5000000002</v>
      </c>
      <c r="H221" s="41">
        <f>SUM(H207:H220)</f>
        <v>1435099.63</v>
      </c>
      <c r="I221" s="41">
        <f>SUM(I207:I220)</f>
        <v>478493.27999999997</v>
      </c>
      <c r="J221" s="41">
        <f>SUM(J207:J220)</f>
        <v>132013.91</v>
      </c>
      <c r="K221" s="41">
        <f t="shared" si="3"/>
        <v>23447.87</v>
      </c>
      <c r="L221" s="41">
        <f t="shared" si="3"/>
        <v>9757437.7000000011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5810624.6399999997</v>
      </c>
      <c r="G225" s="18">
        <v>2070237.68</v>
      </c>
      <c r="H225" s="18">
        <v>19208.84</v>
      </c>
      <c r="I225" s="18">
        <v>322422.52</v>
      </c>
      <c r="J225" s="18">
        <v>78081.91</v>
      </c>
      <c r="K225" s="18">
        <v>4258.3900000000003</v>
      </c>
      <c r="L225" s="19">
        <f>SUM(F225:K225)</f>
        <v>8304833.9799999995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1668370.43</v>
      </c>
      <c r="G226" s="18">
        <v>658984</v>
      </c>
      <c r="H226" s="18">
        <v>975511.53</v>
      </c>
      <c r="I226" s="18">
        <v>15306.49</v>
      </c>
      <c r="J226" s="18">
        <v>2263.7600000000002</v>
      </c>
      <c r="K226" s="18"/>
      <c r="L226" s="19">
        <f>SUM(F226:K226)</f>
        <v>3320436.21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763777.87</v>
      </c>
      <c r="G227" s="18">
        <v>303495.26</v>
      </c>
      <c r="H227" s="18">
        <v>35141.54</v>
      </c>
      <c r="I227" s="18">
        <v>54969.66</v>
      </c>
      <c r="J227" s="18">
        <v>5634.18</v>
      </c>
      <c r="K227" s="18">
        <v>315</v>
      </c>
      <c r="L227" s="19">
        <f>SUM(F227:K227)</f>
        <v>1163333.5099999998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63439.84+238920.21+10031.91</f>
        <v>312391.95999999996</v>
      </c>
      <c r="G228" s="18">
        <f>9284.35+44055.69+1585.14</f>
        <v>54925.18</v>
      </c>
      <c r="H228" s="18">
        <f>7405.8+94857.08</f>
        <v>102262.88</v>
      </c>
      <c r="I228" s="18">
        <f>3026.06+18198.02</f>
        <v>21224.080000000002</v>
      </c>
      <c r="J228" s="18">
        <v>10338.14</v>
      </c>
      <c r="K228" s="18">
        <v>6435</v>
      </c>
      <c r="L228" s="19">
        <f>SUM(F228:K228)</f>
        <v>507577.24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10476.44+452813.99+130064.08+137281.36+182387.95</f>
        <v>913023.82000000007</v>
      </c>
      <c r="G230" s="18">
        <f>835.12+181288.05+53273.28+43424.27+77812.27</f>
        <v>356632.99</v>
      </c>
      <c r="H230" s="18">
        <f>4044.36+742.5+21704.6+49661.55+2575+28272+392580</f>
        <v>499580.01</v>
      </c>
      <c r="I230" s="18">
        <f>57+2650.03+6421.21+1675.94+56.57</f>
        <v>10860.75</v>
      </c>
      <c r="J230" s="18">
        <v>895.38</v>
      </c>
      <c r="K230" s="18">
        <v>430</v>
      </c>
      <c r="L230" s="19">
        <f t="shared" ref="L230:L236" si="4">SUM(F230:K230)</f>
        <v>1781422.95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2800+25285+2100+18521.18+104294.43</f>
        <v>153000.60999999999</v>
      </c>
      <c r="G231" s="18">
        <f>432.96+3908.86+36326.27+11001.14+64184.64</f>
        <v>115853.87</v>
      </c>
      <c r="H231" s="18">
        <f>32068.58+570.8+6247.59</f>
        <v>38886.97</v>
      </c>
      <c r="I231" s="18">
        <f>461.94+163.76+2634.14+58244.8+742.8</f>
        <v>62247.44</v>
      </c>
      <c r="J231" s="18">
        <f>139+5972.43+302.06</f>
        <v>6413.4900000000007</v>
      </c>
      <c r="K231" s="18">
        <f>3030.75+230</f>
        <v>3260.75</v>
      </c>
      <c r="L231" s="19">
        <f t="shared" si="4"/>
        <v>379663.12999999995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8528.54+2750+3000+72210.45</f>
        <v>86488.989999999991</v>
      </c>
      <c r="G232" s="18">
        <f>9666.1+696.19+219.18+239.1+27279.4+16250.01</f>
        <v>54349.98</v>
      </c>
      <c r="H232" s="18">
        <f>16000+88001.27+714942+4184.43</f>
        <v>823127.70000000007</v>
      </c>
      <c r="I232" s="18">
        <v>27330.95</v>
      </c>
      <c r="J232" s="18"/>
      <c r="K232" s="18">
        <f>7471.11+9909.6+54</f>
        <v>17434.71</v>
      </c>
      <c r="L232" s="19">
        <f t="shared" si="4"/>
        <v>1008732.33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911504.53</v>
      </c>
      <c r="G233" s="18">
        <v>319259.63</v>
      </c>
      <c r="H233" s="18">
        <f>71820.33+500</f>
        <v>72320.33</v>
      </c>
      <c r="I233" s="18">
        <f>24705.46+10698.3</f>
        <v>35403.759999999995</v>
      </c>
      <c r="J233" s="18">
        <v>3855.65</v>
      </c>
      <c r="K233" s="18">
        <v>4698</v>
      </c>
      <c r="L233" s="19">
        <f t="shared" si="4"/>
        <v>1347041.9000000001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>
        <v>812.53</v>
      </c>
      <c r="I234" s="18"/>
      <c r="J234" s="18"/>
      <c r="K234" s="18">
        <v>9655</v>
      </c>
      <c r="L234" s="19">
        <f t="shared" si="4"/>
        <v>10467.530000000001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608778.41+99009.67+1343</f>
        <v>709131.08000000007</v>
      </c>
      <c r="G235" s="18">
        <f>280208.53+60959.62+231.53</f>
        <v>341399.68000000005</v>
      </c>
      <c r="H235" s="18">
        <f>244194.18+65077.58+59705.9+3361.5+26719.53</f>
        <v>399058.69000000006</v>
      </c>
      <c r="I235" s="18">
        <f>878951.3+28063.85-19000</f>
        <v>888015.15</v>
      </c>
      <c r="J235" s="18">
        <f>49136.02+22142.6</f>
        <v>71278.62</v>
      </c>
      <c r="K235" s="18">
        <v>2196.08</v>
      </c>
      <c r="L235" s="19">
        <f t="shared" si="4"/>
        <v>2411079.3000000003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384940.01+192719.68+664.86+122011+23998.23+1508.03</f>
        <v>725841.80999999994</v>
      </c>
      <c r="I236" s="18"/>
      <c r="J236" s="18"/>
      <c r="K236" s="18"/>
      <c r="L236" s="19">
        <f t="shared" si="4"/>
        <v>725841.80999999994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f>17817.6+61316</f>
        <v>79133.600000000006</v>
      </c>
      <c r="G237" s="18">
        <f>11827.07+28506.07</f>
        <v>40333.14</v>
      </c>
      <c r="H237" s="18">
        <f>4361.45+6101.53+14754.5</f>
        <v>25217.48</v>
      </c>
      <c r="I237" s="18">
        <f>303.34+51657.51</f>
        <v>51960.85</v>
      </c>
      <c r="J237" s="18">
        <f>112.51+191365.27</f>
        <v>191477.78</v>
      </c>
      <c r="K237" s="18"/>
      <c r="L237" s="19">
        <f>SUM(F237:K237)</f>
        <v>388122.85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11407447.529999997</v>
      </c>
      <c r="G239" s="41">
        <f t="shared" si="5"/>
        <v>4315471.4099999992</v>
      </c>
      <c r="H239" s="41">
        <f t="shared" si="5"/>
        <v>3716970.31</v>
      </c>
      <c r="I239" s="41">
        <f t="shared" si="5"/>
        <v>1489741.6500000001</v>
      </c>
      <c r="J239" s="41">
        <f t="shared" si="5"/>
        <v>370238.91000000003</v>
      </c>
      <c r="K239" s="41">
        <f t="shared" si="5"/>
        <v>48682.93</v>
      </c>
      <c r="L239" s="41">
        <f t="shared" si="5"/>
        <v>21348552.740000002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>
        <v>5060.75</v>
      </c>
      <c r="L247" s="19">
        <f t="shared" si="6"/>
        <v>5060.75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5060.75</v>
      </c>
      <c r="L248" s="41">
        <f>SUM(F248:K248)</f>
        <v>5060.75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28125456.229999997</v>
      </c>
      <c r="G249" s="41">
        <f t="shared" si="8"/>
        <v>10174828.129999999</v>
      </c>
      <c r="H249" s="41">
        <f t="shared" si="8"/>
        <v>7797823.1099999994</v>
      </c>
      <c r="I249" s="41">
        <f t="shared" si="8"/>
        <v>2795564.37</v>
      </c>
      <c r="J249" s="41">
        <f t="shared" si="8"/>
        <v>674548.74</v>
      </c>
      <c r="K249" s="41">
        <f t="shared" si="8"/>
        <v>119013.23999999999</v>
      </c>
      <c r="L249" s="41">
        <f t="shared" si="8"/>
        <v>49687233.82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1150000</v>
      </c>
      <c r="L252" s="19">
        <f>SUM(F252:K252)</f>
        <v>1150000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523599.1</v>
      </c>
      <c r="L253" s="19">
        <f>SUM(F253:K253)</f>
        <v>523599.1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f>981706.92+19000</f>
        <v>1000706.92</v>
      </c>
      <c r="L257" s="19">
        <f t="shared" si="9"/>
        <v>1000706.92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2674306.02</v>
      </c>
      <c r="L262" s="41">
        <f t="shared" si="9"/>
        <v>2674306.02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28125456.229999997</v>
      </c>
      <c r="G263" s="42">
        <f t="shared" si="11"/>
        <v>10174828.129999999</v>
      </c>
      <c r="H263" s="42">
        <f t="shared" si="11"/>
        <v>7797823.1099999994</v>
      </c>
      <c r="I263" s="42">
        <f t="shared" si="11"/>
        <v>2795564.37</v>
      </c>
      <c r="J263" s="42">
        <f t="shared" si="11"/>
        <v>674548.74</v>
      </c>
      <c r="K263" s="42">
        <f t="shared" si="11"/>
        <v>2793319.26</v>
      </c>
      <c r="L263" s="42">
        <f t="shared" si="11"/>
        <v>52361539.840000004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431338.71</f>
        <v>431338.71</v>
      </c>
      <c r="G268" s="18">
        <f>161911.6</f>
        <v>161911.6</v>
      </c>
      <c r="H268" s="18">
        <f>2594.16+3120</f>
        <v>5714.16</v>
      </c>
      <c r="I268" s="18">
        <f>26242.72</f>
        <v>26242.720000000001</v>
      </c>
      <c r="J268" s="18">
        <f>19257.45+17808.29</f>
        <v>37065.740000000005</v>
      </c>
      <c r="K268" s="18"/>
      <c r="L268" s="19">
        <f>SUM(F268:K268)</f>
        <v>662272.93000000005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286400.14+1200</f>
        <v>287600.14</v>
      </c>
      <c r="G269" s="18">
        <f>93367.61+95.64</f>
        <v>93463.25</v>
      </c>
      <c r="H269" s="18">
        <f>2701.6</f>
        <v>2701.6</v>
      </c>
      <c r="I269" s="18">
        <f>59386.24</f>
        <v>59386.239999999998</v>
      </c>
      <c r="J269" s="18">
        <f>710</f>
        <v>710</v>
      </c>
      <c r="K269" s="18"/>
      <c r="L269" s="19">
        <f>SUM(F269:K269)</f>
        <v>443861.23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9900+2000</f>
        <v>11900</v>
      </c>
      <c r="G271" s="18">
        <f>1362.04+309.2</f>
        <v>1671.24</v>
      </c>
      <c r="H271" s="18">
        <f>2646</f>
        <v>2646</v>
      </c>
      <c r="I271" s="18">
        <f>401.5+1573</f>
        <v>1974.5</v>
      </c>
      <c r="J271" s="18"/>
      <c r="K271" s="18">
        <f>54.75</f>
        <v>54.75</v>
      </c>
      <c r="L271" s="19">
        <f>SUM(F271:K271)</f>
        <v>18246.489999999998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22549.8+28649.92</f>
        <v>51199.72</v>
      </c>
      <c r="G273" s="18">
        <f>10471.31+2283.58</f>
        <v>12754.89</v>
      </c>
      <c r="H273" s="18">
        <f>4132.5+9100</f>
        <v>13232.5</v>
      </c>
      <c r="I273" s="18">
        <f>1369.2</f>
        <v>1369.2</v>
      </c>
      <c r="J273" s="18"/>
      <c r="K273" s="18">
        <f>4097.4</f>
        <v>4097.3999999999996</v>
      </c>
      <c r="L273" s="19">
        <f t="shared" ref="L273:L279" si="12">SUM(F273:K273)</f>
        <v>82653.709999999992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10500+112850.74+5526.39</f>
        <v>128877.13</v>
      </c>
      <c r="G274" s="18">
        <f>1529.62+49033.47+842.31</f>
        <v>51405.4</v>
      </c>
      <c r="H274" s="18">
        <f>14390.9+29375+45167.5+57668.05</f>
        <v>146601.45000000001</v>
      </c>
      <c r="I274" s="18">
        <f>13143.55+2805.63</f>
        <v>15949.18</v>
      </c>
      <c r="J274" s="18">
        <f>2973.32</f>
        <v>2973.32</v>
      </c>
      <c r="K274" s="18">
        <f>100</f>
        <v>100</v>
      </c>
      <c r="L274" s="19">
        <f t="shared" si="12"/>
        <v>345906.48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f>37417.41</f>
        <v>37417.410000000003</v>
      </c>
      <c r="G275" s="18">
        <v>13281.31</v>
      </c>
      <c r="H275" s="18">
        <f>10500+1690.28+13494.9</f>
        <v>25685.18</v>
      </c>
      <c r="I275" s="18">
        <f>2175.77</f>
        <v>2175.77</v>
      </c>
      <c r="J275" s="18"/>
      <c r="K275" s="18">
        <f>93.3</f>
        <v>93.3</v>
      </c>
      <c r="L275" s="19">
        <f t="shared" si="12"/>
        <v>78652.97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>
        <f>2348.56</f>
        <v>2348.56</v>
      </c>
      <c r="I277" s="18"/>
      <c r="J277" s="18"/>
      <c r="K277" s="18">
        <f>55535.85+7073.38</f>
        <v>62609.229999999996</v>
      </c>
      <c r="L277" s="19">
        <f t="shared" si="12"/>
        <v>64957.789999999994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f>1220.63</f>
        <v>1220.6300000000001</v>
      </c>
      <c r="G278" s="18">
        <f>97.3</f>
        <v>97.3</v>
      </c>
      <c r="H278" s="18">
        <f>9986.11</f>
        <v>9986.11</v>
      </c>
      <c r="I278" s="18"/>
      <c r="J278" s="18"/>
      <c r="K278" s="18"/>
      <c r="L278" s="19">
        <f t="shared" si="12"/>
        <v>11304.04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f>1513</f>
        <v>1513</v>
      </c>
      <c r="I279" s="18"/>
      <c r="J279" s="18"/>
      <c r="K279" s="18"/>
      <c r="L279" s="19">
        <f t="shared" si="12"/>
        <v>1513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949553.74000000011</v>
      </c>
      <c r="G282" s="42">
        <f t="shared" si="13"/>
        <v>334584.99</v>
      </c>
      <c r="H282" s="42">
        <f t="shared" si="13"/>
        <v>210428.56</v>
      </c>
      <c r="I282" s="42">
        <f t="shared" si="13"/>
        <v>107097.61</v>
      </c>
      <c r="J282" s="42">
        <f t="shared" si="13"/>
        <v>40749.060000000005</v>
      </c>
      <c r="K282" s="42">
        <f t="shared" si="13"/>
        <v>66954.679999999993</v>
      </c>
      <c r="L282" s="41">
        <f t="shared" si="13"/>
        <v>1709368.6400000001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>
        <f>2080</f>
        <v>2080</v>
      </c>
      <c r="I287" s="18"/>
      <c r="J287" s="18">
        <f>11872.19</f>
        <v>11872.19</v>
      </c>
      <c r="K287" s="18"/>
      <c r="L287" s="19">
        <f>SUM(F287:K287)</f>
        <v>13952.19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f>600</f>
        <v>600</v>
      </c>
      <c r="G290" s="18">
        <f>47.8</f>
        <v>47.8</v>
      </c>
      <c r="H290" s="18"/>
      <c r="I290" s="18"/>
      <c r="J290" s="18"/>
      <c r="K290" s="18"/>
      <c r="L290" s="19">
        <f>SUM(F290:K290)</f>
        <v>647.79999999999995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>
        <f>361.34</f>
        <v>361.34</v>
      </c>
      <c r="J292" s="18"/>
      <c r="K292" s="18"/>
      <c r="L292" s="19">
        <f t="shared" ref="L292:L298" si="14">SUM(F292:K292)</f>
        <v>361.34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5950+3684.26</f>
        <v>9634.26</v>
      </c>
      <c r="G293" s="18">
        <f>925.74+561.54</f>
        <v>1487.28</v>
      </c>
      <c r="H293" s="18">
        <f>7220+10000+38445.37</f>
        <v>55665.37</v>
      </c>
      <c r="I293" s="18">
        <f>1829.5+1870.42</f>
        <v>3699.92</v>
      </c>
      <c r="J293" s="18">
        <f>1982.21</f>
        <v>1982.21</v>
      </c>
      <c r="K293" s="18"/>
      <c r="L293" s="19">
        <f t="shared" si="14"/>
        <v>72469.040000000008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>
        <f>8996.6</f>
        <v>8996.6</v>
      </c>
      <c r="I294" s="18"/>
      <c r="J294" s="18"/>
      <c r="K294" s="18">
        <v>62.2</v>
      </c>
      <c r="L294" s="19">
        <f t="shared" si="14"/>
        <v>9058.8000000000011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>
        <f>1565.71</f>
        <v>1565.71</v>
      </c>
      <c r="I296" s="18"/>
      <c r="J296" s="18"/>
      <c r="K296" s="18">
        <f>721.39+4715.58</f>
        <v>5436.97</v>
      </c>
      <c r="L296" s="19">
        <f t="shared" si="14"/>
        <v>7002.68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f>813.75</f>
        <v>813.75</v>
      </c>
      <c r="G297" s="18">
        <f>64.87</f>
        <v>64.87</v>
      </c>
      <c r="H297" s="18">
        <f>6657.41</f>
        <v>6657.41</v>
      </c>
      <c r="I297" s="18"/>
      <c r="J297" s="18"/>
      <c r="K297" s="18"/>
      <c r="L297" s="19">
        <f t="shared" si="14"/>
        <v>7536.03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11048.01</v>
      </c>
      <c r="G301" s="42">
        <f t="shared" si="15"/>
        <v>1599.9499999999998</v>
      </c>
      <c r="H301" s="42">
        <f t="shared" si="15"/>
        <v>74965.090000000011</v>
      </c>
      <c r="I301" s="42">
        <f t="shared" si="15"/>
        <v>4061.26</v>
      </c>
      <c r="J301" s="42">
        <f t="shared" si="15"/>
        <v>13854.400000000001</v>
      </c>
      <c r="K301" s="42">
        <f t="shared" si="15"/>
        <v>5499.17</v>
      </c>
      <c r="L301" s="41">
        <f t="shared" si="15"/>
        <v>111027.88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32500</f>
        <v>32500</v>
      </c>
      <c r="G306" s="18">
        <f>10969.7</f>
        <v>10969.7</v>
      </c>
      <c r="H306" s="18">
        <f>183315+5200</f>
        <v>188515</v>
      </c>
      <c r="I306" s="18">
        <f>1722.58</f>
        <v>1722.58</v>
      </c>
      <c r="J306" s="18">
        <f>172.66+29680.48</f>
        <v>29853.14</v>
      </c>
      <c r="K306" s="18"/>
      <c r="L306" s="19">
        <f>SUM(F306:K306)</f>
        <v>263560.42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>
        <f>9020.37</f>
        <v>9020.3700000000008</v>
      </c>
      <c r="I307" s="18"/>
      <c r="J307" s="18"/>
      <c r="K307" s="18"/>
      <c r="L307" s="19">
        <f>SUM(F307:K307)</f>
        <v>9020.3700000000008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f>54299.96</f>
        <v>54299.96</v>
      </c>
      <c r="G308" s="18">
        <f>8691.65</f>
        <v>8691.65</v>
      </c>
      <c r="H308" s="18">
        <f>47587.52</f>
        <v>47587.519999999997</v>
      </c>
      <c r="I308" s="18">
        <f>4210</f>
        <v>4210</v>
      </c>
      <c r="J308" s="18">
        <f>21991.34</f>
        <v>21991.34</v>
      </c>
      <c r="K308" s="18"/>
      <c r="L308" s="19">
        <f>SUM(F308:K308)</f>
        <v>136780.47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f>2025</f>
        <v>2025</v>
      </c>
      <c r="G309" s="18">
        <f>313.06</f>
        <v>313.06</v>
      </c>
      <c r="H309" s="18"/>
      <c r="I309" s="18">
        <f>847.73</f>
        <v>847.73</v>
      </c>
      <c r="J309" s="18"/>
      <c r="K309" s="18"/>
      <c r="L309" s="19">
        <f>SUM(F309:K309)</f>
        <v>3185.79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f>687.5</f>
        <v>687.5</v>
      </c>
      <c r="G311" s="18">
        <f>54.79</f>
        <v>54.79</v>
      </c>
      <c r="H311" s="18"/>
      <c r="I311" s="18">
        <f>1985</f>
        <v>1985</v>
      </c>
      <c r="J311" s="18"/>
      <c r="K311" s="18"/>
      <c r="L311" s="19">
        <f t="shared" ref="L311:L317" si="16">SUM(F311:K311)</f>
        <v>2727.29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6000+9210.66</f>
        <v>15210.66</v>
      </c>
      <c r="G312" s="18">
        <f>693.22+1403.85</f>
        <v>2097.0699999999997</v>
      </c>
      <c r="H312" s="18">
        <f>9097.86+10000+96113.42</f>
        <v>115211.28</v>
      </c>
      <c r="I312" s="18">
        <f>1180.92+4676.05</f>
        <v>5856.97</v>
      </c>
      <c r="J312" s="18">
        <f>4955.53</f>
        <v>4955.53</v>
      </c>
      <c r="K312" s="18">
        <f>4020.51</f>
        <v>4020.51</v>
      </c>
      <c r="L312" s="19">
        <f t="shared" si="16"/>
        <v>147352.02000000002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>
        <f>22491.5</f>
        <v>22491.5</v>
      </c>
      <c r="I313" s="18"/>
      <c r="J313" s="18"/>
      <c r="K313" s="18">
        <f>155.5</f>
        <v>155.5</v>
      </c>
      <c r="L313" s="19">
        <f t="shared" si="16"/>
        <v>22647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>
        <f>3914.27</f>
        <v>3914.27</v>
      </c>
      <c r="I315" s="18"/>
      <c r="J315" s="18"/>
      <c r="K315" s="18">
        <f>6417.29+11788.96-0.04</f>
        <v>18206.21</v>
      </c>
      <c r="L315" s="19">
        <f t="shared" si="16"/>
        <v>22120.48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f>2034.38</f>
        <v>2034.38</v>
      </c>
      <c r="G316" s="18">
        <f>162.17</f>
        <v>162.16999999999999</v>
      </c>
      <c r="H316" s="18">
        <f>16643.52</f>
        <v>16643.52</v>
      </c>
      <c r="I316" s="18"/>
      <c r="J316" s="18"/>
      <c r="K316" s="18"/>
      <c r="L316" s="19">
        <f t="shared" si="16"/>
        <v>18840.07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106757.5</v>
      </c>
      <c r="G320" s="42">
        <f t="shared" si="17"/>
        <v>22288.44</v>
      </c>
      <c r="H320" s="42">
        <f t="shared" si="17"/>
        <v>403383.46</v>
      </c>
      <c r="I320" s="42">
        <f t="shared" si="17"/>
        <v>14622.279999999999</v>
      </c>
      <c r="J320" s="42">
        <f t="shared" si="17"/>
        <v>56800.009999999995</v>
      </c>
      <c r="K320" s="42">
        <f t="shared" si="17"/>
        <v>22382.22</v>
      </c>
      <c r="L320" s="41">
        <f t="shared" si="17"/>
        <v>626233.90999999992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>
        <v>2170</v>
      </c>
      <c r="I324" s="18"/>
      <c r="J324" s="18"/>
      <c r="K324" s="18"/>
      <c r="L324" s="19">
        <f t="shared" ref="L324:L329" si="18">SUM(F324:K324)</f>
        <v>2170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257249.59</v>
      </c>
      <c r="G325" s="18">
        <v>65213.87</v>
      </c>
      <c r="H325" s="18">
        <v>52858.720000000001</v>
      </c>
      <c r="I325" s="18">
        <v>13775.97</v>
      </c>
      <c r="J325" s="18">
        <v>1270.25</v>
      </c>
      <c r="K325" s="18">
        <v>8761.6</v>
      </c>
      <c r="L325" s="19">
        <f t="shared" si="18"/>
        <v>399130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257249.59</v>
      </c>
      <c r="G329" s="41">
        <f t="shared" si="19"/>
        <v>65213.87</v>
      </c>
      <c r="H329" s="41">
        <f t="shared" si="19"/>
        <v>55028.72</v>
      </c>
      <c r="I329" s="41">
        <f t="shared" si="19"/>
        <v>13775.97</v>
      </c>
      <c r="J329" s="41">
        <f t="shared" si="19"/>
        <v>1270.25</v>
      </c>
      <c r="K329" s="41">
        <f t="shared" si="19"/>
        <v>8761.6</v>
      </c>
      <c r="L329" s="41">
        <f t="shared" si="18"/>
        <v>401300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1324608.8400000001</v>
      </c>
      <c r="G330" s="41">
        <f t="shared" si="20"/>
        <v>423687.25</v>
      </c>
      <c r="H330" s="41">
        <f t="shared" si="20"/>
        <v>743805.83000000007</v>
      </c>
      <c r="I330" s="41">
        <f t="shared" si="20"/>
        <v>139557.12</v>
      </c>
      <c r="J330" s="41">
        <f t="shared" si="20"/>
        <v>112673.72</v>
      </c>
      <c r="K330" s="41">
        <f t="shared" si="20"/>
        <v>103597.67</v>
      </c>
      <c r="L330" s="41">
        <f t="shared" si="20"/>
        <v>2847930.4299999997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1324608.8400000001</v>
      </c>
      <c r="G344" s="41">
        <f>G330</f>
        <v>423687.25</v>
      </c>
      <c r="H344" s="41">
        <f>H330</f>
        <v>743805.83000000007</v>
      </c>
      <c r="I344" s="41">
        <f>I330</f>
        <v>139557.12</v>
      </c>
      <c r="J344" s="41">
        <f>J330</f>
        <v>112673.72</v>
      </c>
      <c r="K344" s="47">
        <f>K330+K343</f>
        <v>103597.67</v>
      </c>
      <c r="L344" s="41">
        <f>L330+L343</f>
        <v>2847930.4299999997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195590.13</v>
      </c>
      <c r="G350" s="18">
        <v>56485.72</v>
      </c>
      <c r="H350" s="18">
        <v>7549.3</v>
      </c>
      <c r="I350" s="18">
        <v>50163.82</v>
      </c>
      <c r="J350" s="18">
        <v>11934.76</v>
      </c>
      <c r="K350" s="18">
        <v>231.68</v>
      </c>
      <c r="L350" s="13">
        <f>SUM(F350:K350)</f>
        <v>321955.40999999997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67642.880000000005</v>
      </c>
      <c r="G351" s="18">
        <v>15136.25</v>
      </c>
      <c r="H351" s="18">
        <v>3452.83</v>
      </c>
      <c r="I351" s="18">
        <v>113305.77</v>
      </c>
      <c r="J351" s="18"/>
      <c r="K351" s="18">
        <v>95.7</v>
      </c>
      <c r="L351" s="19">
        <f>SUM(F351:K351)</f>
        <v>199633.43000000002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240418.23</v>
      </c>
      <c r="G352" s="18">
        <v>74190.81</v>
      </c>
      <c r="H352" s="18">
        <v>14769.1</v>
      </c>
      <c r="I352" s="18">
        <v>546468.81000000006</v>
      </c>
      <c r="J352" s="18">
        <v>32398.15</v>
      </c>
      <c r="K352" s="18">
        <v>5372.66</v>
      </c>
      <c r="L352" s="19">
        <f>SUM(F352:K352)</f>
        <v>913617.76000000013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503651.24</v>
      </c>
      <c r="G354" s="47">
        <f t="shared" si="22"/>
        <v>145812.78</v>
      </c>
      <c r="H354" s="47">
        <f t="shared" si="22"/>
        <v>25771.230000000003</v>
      </c>
      <c r="I354" s="47">
        <f t="shared" si="22"/>
        <v>709938.4</v>
      </c>
      <c r="J354" s="47">
        <f t="shared" si="22"/>
        <v>44332.91</v>
      </c>
      <c r="K354" s="47">
        <f t="shared" si="22"/>
        <v>5700.04</v>
      </c>
      <c r="L354" s="47">
        <f t="shared" si="22"/>
        <v>1435206.6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48627.11</v>
      </c>
      <c r="G359" s="18">
        <f>107138.92+2290.75</f>
        <v>109429.67</v>
      </c>
      <c r="H359" s="18">
        <f>513213.6+5104</f>
        <v>518317.6</v>
      </c>
      <c r="I359" s="56">
        <f>SUM(F359:H359)</f>
        <v>676374.38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422.25+1114.46</f>
        <v>1536.71</v>
      </c>
      <c r="G360" s="63">
        <v>3876.1</v>
      </c>
      <c r="H360" s="63">
        <v>28151.21</v>
      </c>
      <c r="I360" s="56">
        <f>SUM(F360:H360)</f>
        <v>33564.019999999997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50163.82</v>
      </c>
      <c r="G361" s="47">
        <f>SUM(G359:G360)</f>
        <v>113305.77</v>
      </c>
      <c r="H361" s="47">
        <f>SUM(H359:H360)</f>
        <v>546468.80999999994</v>
      </c>
      <c r="I361" s="47">
        <f>SUM(I359:I360)</f>
        <v>709938.4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2368227.0499999998</v>
      </c>
      <c r="I368" s="18"/>
      <c r="J368" s="18"/>
      <c r="K368" s="18"/>
      <c r="L368" s="13">
        <f t="shared" si="23"/>
        <v>2368227.0499999998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>
        <v>17500.02</v>
      </c>
      <c r="G370" s="18">
        <v>6366.78</v>
      </c>
      <c r="H370" s="18">
        <v>28091029.199999999</v>
      </c>
      <c r="I370" s="18">
        <v>36139.01</v>
      </c>
      <c r="J370" s="18">
        <v>31744.41</v>
      </c>
      <c r="K370" s="18">
        <v>239073.29</v>
      </c>
      <c r="L370" s="13">
        <f t="shared" si="23"/>
        <v>28421852.710000001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63707.43</v>
      </c>
      <c r="I371" s="18"/>
      <c r="J371" s="18"/>
      <c r="K371" s="18"/>
      <c r="L371" s="13">
        <f t="shared" si="23"/>
        <v>63707.43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>
        <v>29846.39</v>
      </c>
      <c r="I372" s="18"/>
      <c r="J372" s="18"/>
      <c r="K372" s="18"/>
      <c r="L372" s="13">
        <f t="shared" si="23"/>
        <v>29846.39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17500.02</v>
      </c>
      <c r="G374" s="139">
        <f t="shared" ref="G374:L374" si="24">SUM(G366:G373)</f>
        <v>6366.78</v>
      </c>
      <c r="H374" s="139">
        <f t="shared" si="24"/>
        <v>30552810.07</v>
      </c>
      <c r="I374" s="41">
        <f t="shared" si="24"/>
        <v>36139.01</v>
      </c>
      <c r="J374" s="47">
        <f t="shared" si="24"/>
        <v>31744.41</v>
      </c>
      <c r="K374" s="47">
        <f t="shared" si="24"/>
        <v>239073.29</v>
      </c>
      <c r="L374" s="47">
        <f t="shared" si="24"/>
        <v>30883633.580000002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4.5999999999999996</v>
      </c>
      <c r="I384" s="18"/>
      <c r="J384" s="24" t="s">
        <v>312</v>
      </c>
      <c r="K384" s="24" t="s">
        <v>312</v>
      </c>
      <c r="L384" s="56">
        <f t="shared" si="25"/>
        <v>4.5999999999999996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4.5999999999999996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4.5999999999999996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4.5999999999999996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4.5999999999999996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2307.7600000000002</v>
      </c>
      <c r="G431" s="18"/>
      <c r="H431" s="18"/>
      <c r="I431" s="56">
        <f t="shared" ref="I431:I437" si="33">SUM(F431:H431)</f>
        <v>2307.7600000000002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2307.7600000000002</v>
      </c>
      <c r="G438" s="13">
        <f>SUM(G431:G437)</f>
        <v>0</v>
      </c>
      <c r="H438" s="13">
        <f>SUM(H431:H437)</f>
        <v>0</v>
      </c>
      <c r="I438" s="13">
        <f>SUM(I431:I437)</f>
        <v>2307.7600000000002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2307.7600000000002</v>
      </c>
      <c r="G449" s="18"/>
      <c r="H449" s="18"/>
      <c r="I449" s="56">
        <f>SUM(F449:H449)</f>
        <v>2307.7600000000002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2307.7600000000002</v>
      </c>
      <c r="G450" s="83">
        <f>SUM(G446:G449)</f>
        <v>0</v>
      </c>
      <c r="H450" s="83">
        <f>SUM(H446:H449)</f>
        <v>0</v>
      </c>
      <c r="I450" s="83">
        <f>SUM(I446:I449)</f>
        <v>2307.7600000000002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2307.7600000000002</v>
      </c>
      <c r="G451" s="42">
        <f>G444+G450</f>
        <v>0</v>
      </c>
      <c r="H451" s="42">
        <f>H444+H450</f>
        <v>0</v>
      </c>
      <c r="I451" s="42">
        <f>I444+I450</f>
        <v>2307.7600000000002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1416246.78</v>
      </c>
      <c r="G455" s="18">
        <v>206913.46</v>
      </c>
      <c r="H455" s="18">
        <v>388305.13</v>
      </c>
      <c r="I455" s="18">
        <v>95449.42</v>
      </c>
      <c r="J455" s="18">
        <v>2303.16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54084168.049999997</v>
      </c>
      <c r="G458" s="18">
        <v>1493997.98</v>
      </c>
      <c r="H458" s="18">
        <f>2139358.38+81690.12+472295.75+71262.5</f>
        <v>2764606.75</v>
      </c>
      <c r="I458" s="18">
        <v>1000706.92</v>
      </c>
      <c r="J458" s="18">
        <v>4.5999999999999996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54084168.049999997</v>
      </c>
      <c r="G460" s="53">
        <f>SUM(G458:G459)</f>
        <v>1493997.98</v>
      </c>
      <c r="H460" s="53">
        <f>SUM(H458:H459)</f>
        <v>2764606.75</v>
      </c>
      <c r="I460" s="53">
        <f>SUM(I458:I459)</f>
        <v>1000706.92</v>
      </c>
      <c r="J460" s="53">
        <f>SUM(J458:J459)</f>
        <v>4.5999999999999996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52361539.840000004</v>
      </c>
      <c r="G462" s="18">
        <v>1435206.6</v>
      </c>
      <c r="H462" s="18">
        <f>2139358.38+81690.12+503685.01+123196.92</f>
        <v>2847930.4299999997</v>
      </c>
      <c r="I462" s="18">
        <v>30883633.579999998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>
        <v>305.56</v>
      </c>
      <c r="I463" s="18">
        <f>23706.88+293175+11680+6412+57708-157909</f>
        <v>234772.88</v>
      </c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52361539.840000004</v>
      </c>
      <c r="G464" s="53">
        <f>SUM(G462:G463)</f>
        <v>1435206.6</v>
      </c>
      <c r="H464" s="53">
        <f>SUM(H462:H463)</f>
        <v>2848235.9899999998</v>
      </c>
      <c r="I464" s="53">
        <f>SUM(I462:I463)</f>
        <v>31118406.459999997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3138874.9899999946</v>
      </c>
      <c r="G466" s="53">
        <f>(G455+G460)- G464</f>
        <v>265704.83999999985</v>
      </c>
      <c r="H466" s="53">
        <f>(H455+H460)- H464</f>
        <v>304675.89000000013</v>
      </c>
      <c r="I466" s="53">
        <f>(I455+I460)- I464</f>
        <v>-30022250.119999997</v>
      </c>
      <c r="J466" s="53">
        <f>(J455+J460)- J464</f>
        <v>2307.7599999999998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10</v>
      </c>
      <c r="H480" s="154">
        <v>10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 t="s">
        <v>898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 t="s">
        <v>899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17500000</v>
      </c>
      <c r="G483" s="18">
        <v>1500000</v>
      </c>
      <c r="H483" s="18">
        <v>1225000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5.2</v>
      </c>
      <c r="G484" s="18">
        <v>3.23</v>
      </c>
      <c r="H484" s="18">
        <v>3.79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9625000</v>
      </c>
      <c r="G485" s="18">
        <v>600000</v>
      </c>
      <c r="H485" s="18">
        <v>975000</v>
      </c>
      <c r="I485" s="18"/>
      <c r="J485" s="18"/>
      <c r="K485" s="53">
        <f>SUM(F485:J485)</f>
        <v>11200000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875000</v>
      </c>
      <c r="G487" s="18">
        <v>150000</v>
      </c>
      <c r="H487" s="18">
        <v>125000</v>
      </c>
      <c r="I487" s="18"/>
      <c r="J487" s="18"/>
      <c r="K487" s="53">
        <f t="shared" si="34"/>
        <v>1150000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8750000</v>
      </c>
      <c r="G488" s="205">
        <v>450000</v>
      </c>
      <c r="H488" s="205">
        <v>850000</v>
      </c>
      <c r="I488" s="205"/>
      <c r="J488" s="205"/>
      <c r="K488" s="206">
        <f t="shared" si="34"/>
        <v>10050000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2296875</v>
      </c>
      <c r="G489" s="18">
        <v>24225</v>
      </c>
      <c r="H489" s="18">
        <v>111975</v>
      </c>
      <c r="I489" s="18"/>
      <c r="J489" s="18"/>
      <c r="K489" s="53">
        <f t="shared" si="34"/>
        <v>2433075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11046875</v>
      </c>
      <c r="G490" s="42">
        <f>SUM(G488:G489)</f>
        <v>474225</v>
      </c>
      <c r="H490" s="42">
        <f>SUM(H488:H489)</f>
        <v>961975</v>
      </c>
      <c r="I490" s="42">
        <f>SUM(I488:I489)</f>
        <v>0</v>
      </c>
      <c r="J490" s="42">
        <f>SUM(J488:J489)</f>
        <v>0</v>
      </c>
      <c r="K490" s="42">
        <f t="shared" si="34"/>
        <v>12483075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875000</v>
      </c>
      <c r="G491" s="205">
        <v>150000</v>
      </c>
      <c r="H491" s="205">
        <v>125000</v>
      </c>
      <c r="I491" s="205"/>
      <c r="J491" s="205"/>
      <c r="K491" s="206">
        <f t="shared" si="34"/>
        <v>1150000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436406.25</v>
      </c>
      <c r="G492" s="18">
        <f>8025+5400</f>
        <v>13425</v>
      </c>
      <c r="H492" s="18">
        <f>16087.5+13743.75</f>
        <v>29831.25</v>
      </c>
      <c r="I492" s="18"/>
      <c r="J492" s="18"/>
      <c r="K492" s="53">
        <f t="shared" si="34"/>
        <v>479662.5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1311406.25</v>
      </c>
      <c r="G493" s="42">
        <f>SUM(G491:G492)</f>
        <v>163425</v>
      </c>
      <c r="H493" s="42">
        <f>SUM(H491:H492)</f>
        <v>154831.25</v>
      </c>
      <c r="I493" s="42">
        <f>SUM(I491:I492)</f>
        <v>0</v>
      </c>
      <c r="J493" s="42">
        <f>SUM(J491:J492)</f>
        <v>0</v>
      </c>
      <c r="K493" s="42">
        <f t="shared" si="34"/>
        <v>1629662.5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3075019.19</v>
      </c>
      <c r="G511" s="18">
        <v>981498.72</v>
      </c>
      <c r="H511" s="18">
        <f>758579.2+2170</f>
        <v>760749.2</v>
      </c>
      <c r="I511" s="18">
        <v>80887.399999999994</v>
      </c>
      <c r="J511" s="18">
        <v>1794.46</v>
      </c>
      <c r="K511" s="18"/>
      <c r="L511" s="88">
        <f>SUM(F511:K511)</f>
        <v>4899948.9700000007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1031936.85</v>
      </c>
      <c r="G512" s="18">
        <v>392744</v>
      </c>
      <c r="H512" s="18">
        <v>505396.56</v>
      </c>
      <c r="I512" s="18">
        <v>12728.7</v>
      </c>
      <c r="J512" s="18">
        <v>1560.54</v>
      </c>
      <c r="K512" s="18"/>
      <c r="L512" s="88">
        <f>SUM(F512:K512)</f>
        <v>1944366.6500000001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1668370.43</v>
      </c>
      <c r="G513" s="18">
        <v>658984</v>
      </c>
      <c r="H513" s="18">
        <v>975511.53</v>
      </c>
      <c r="I513" s="18">
        <v>15306.49</v>
      </c>
      <c r="J513" s="18">
        <v>2263.7600000000002</v>
      </c>
      <c r="K513" s="18"/>
      <c r="L513" s="88">
        <f>SUM(F513:K513)</f>
        <v>3320436.21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5775326.4699999997</v>
      </c>
      <c r="G514" s="108">
        <f t="shared" ref="G514:L514" si="35">SUM(G511:G513)</f>
        <v>2033226.72</v>
      </c>
      <c r="H514" s="108">
        <f t="shared" si="35"/>
        <v>2241657.29</v>
      </c>
      <c r="I514" s="108">
        <f t="shared" si="35"/>
        <v>108922.59</v>
      </c>
      <c r="J514" s="108">
        <f t="shared" si="35"/>
        <v>5618.76</v>
      </c>
      <c r="K514" s="108">
        <f t="shared" si="35"/>
        <v>0</v>
      </c>
      <c r="L514" s="89">
        <f t="shared" si="35"/>
        <v>10164751.830000002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30328.09+262918.77+623068.74+174235.92+28649.92+112850.74</f>
        <v>1232052.18</v>
      </c>
      <c r="G516" s="18">
        <f>10835.81+84880.32+227563.86+80993.91+2283.58+49033.47</f>
        <v>455590.95000000007</v>
      </c>
      <c r="H516" s="18">
        <f>30935.45+339.65+55150+54992+3137.5+6374.16+29375+75790</f>
        <v>256093.76</v>
      </c>
      <c r="I516" s="18">
        <f>6555.52+3029.8+1706.64+13143.55</f>
        <v>24435.51</v>
      </c>
      <c r="J516" s="18"/>
      <c r="K516" s="18">
        <v>100</v>
      </c>
      <c r="L516" s="88">
        <f>SUM(F516:K516)</f>
        <v>1968272.4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120429.14+59900.88+15599.99+104140.14</f>
        <v>300070.14999999997</v>
      </c>
      <c r="G517" s="18">
        <f>40368.85+14335.52+8388.13+43752.96</f>
        <v>106845.45999999999</v>
      </c>
      <c r="H517" s="18">
        <f>58398.75+5600+10100+1856.07+2135</f>
        <v>78089.820000000007</v>
      </c>
      <c r="I517" s="18">
        <f>1709.95+448.66+403.44</f>
        <v>2562.0500000000002</v>
      </c>
      <c r="J517" s="18">
        <v>1838</v>
      </c>
      <c r="K517" s="18"/>
      <c r="L517" s="88">
        <f>SUM(F517:K517)</f>
        <v>489405.48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6481.7+137281.36+116288.01</f>
        <v>260051.07</v>
      </c>
      <c r="G518" s="18">
        <f>2849.74+43424.27+52519.83</f>
        <v>98793.84</v>
      </c>
      <c r="H518" s="18">
        <f>21704.6+49661.55+2575+28272+392580+3079.9</f>
        <v>497873.05000000005</v>
      </c>
      <c r="I518" s="18">
        <f>1675.94+56.57</f>
        <v>1732.51</v>
      </c>
      <c r="J518" s="18"/>
      <c r="K518" s="18"/>
      <c r="L518" s="88">
        <f>SUM(F518:K518)</f>
        <v>858450.47000000009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1792173.4</v>
      </c>
      <c r="G519" s="89">
        <f t="shared" ref="G519:L519" si="36">SUM(G516:G518)</f>
        <v>661230.25</v>
      </c>
      <c r="H519" s="89">
        <f t="shared" si="36"/>
        <v>832056.63000000012</v>
      </c>
      <c r="I519" s="89">
        <f t="shared" si="36"/>
        <v>28730.069999999996</v>
      </c>
      <c r="J519" s="89">
        <f t="shared" si="36"/>
        <v>1838</v>
      </c>
      <c r="K519" s="89">
        <f t="shared" si="36"/>
        <v>100</v>
      </c>
      <c r="L519" s="89">
        <f t="shared" si="36"/>
        <v>3316128.35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142464.37</v>
      </c>
      <c r="G521" s="18">
        <v>49872.83</v>
      </c>
      <c r="H521" s="18">
        <v>14331.31</v>
      </c>
      <c r="I521" s="18">
        <v>1552</v>
      </c>
      <c r="J521" s="18"/>
      <c r="K521" s="18">
        <f>865+29328.39</f>
        <v>30193.39</v>
      </c>
      <c r="L521" s="88">
        <f>SUM(F521:K521)</f>
        <v>238413.90000000002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45489.64</v>
      </c>
      <c r="G522" s="18">
        <v>19594.599999999999</v>
      </c>
      <c r="H522" s="18"/>
      <c r="I522" s="18"/>
      <c r="J522" s="18"/>
      <c r="K522" s="18"/>
      <c r="L522" s="88">
        <f>SUM(F522:K522)</f>
        <v>65084.24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25101.59</v>
      </c>
      <c r="G523" s="18">
        <v>19991.57</v>
      </c>
      <c r="H523" s="18">
        <v>796.95</v>
      </c>
      <c r="I523" s="18">
        <v>497.02</v>
      </c>
      <c r="J523" s="18"/>
      <c r="K523" s="18"/>
      <c r="L523" s="88">
        <f>SUM(F523:K523)</f>
        <v>46387.13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213055.6</v>
      </c>
      <c r="G524" s="89">
        <f t="shared" ref="G524:L524" si="37">SUM(G521:G523)</f>
        <v>89459</v>
      </c>
      <c r="H524" s="89">
        <f t="shared" si="37"/>
        <v>15128.26</v>
      </c>
      <c r="I524" s="89">
        <f t="shared" si="37"/>
        <v>2049.02</v>
      </c>
      <c r="J524" s="89">
        <f t="shared" si="37"/>
        <v>0</v>
      </c>
      <c r="K524" s="89">
        <f t="shared" si="37"/>
        <v>30193.39</v>
      </c>
      <c r="L524" s="89">
        <f t="shared" si="37"/>
        <v>349885.27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46327.22</v>
      </c>
      <c r="I528" s="18"/>
      <c r="J528" s="18"/>
      <c r="K528" s="18"/>
      <c r="L528" s="88">
        <f>SUM(F528:K528)</f>
        <v>46327.22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46327.22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46327.22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430491.44+412.94</f>
        <v>430904.38</v>
      </c>
      <c r="I531" s="18"/>
      <c r="J531" s="18"/>
      <c r="K531" s="18"/>
      <c r="L531" s="88">
        <f>SUM(F531:K531)</f>
        <v>430904.38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146535.34+2187.5</f>
        <v>148722.84</v>
      </c>
      <c r="I532" s="18"/>
      <c r="J532" s="18"/>
      <c r="K532" s="18"/>
      <c r="L532" s="88">
        <f>SUM(F532:K532)</f>
        <v>148722.84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192719.68+1906.09+1508.03</f>
        <v>196133.8</v>
      </c>
      <c r="I533" s="18"/>
      <c r="J533" s="18"/>
      <c r="K533" s="18"/>
      <c r="L533" s="88">
        <f>SUM(F533:K533)</f>
        <v>196133.8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775761.02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775761.02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7780555.4699999988</v>
      </c>
      <c r="G535" s="89">
        <f t="shared" ref="G535:L535" si="40">G514+G519+G524+G529+G534</f>
        <v>2783915.9699999997</v>
      </c>
      <c r="H535" s="89">
        <f t="shared" si="40"/>
        <v>3910930.42</v>
      </c>
      <c r="I535" s="89">
        <f t="shared" si="40"/>
        <v>139701.68</v>
      </c>
      <c r="J535" s="89">
        <f t="shared" si="40"/>
        <v>7456.76</v>
      </c>
      <c r="K535" s="89">
        <f t="shared" si="40"/>
        <v>30293.39</v>
      </c>
      <c r="L535" s="89">
        <f t="shared" si="40"/>
        <v>14652853.690000001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4899948.9700000007</v>
      </c>
      <c r="G539" s="87">
        <f>L516</f>
        <v>1968272.4</v>
      </c>
      <c r="H539" s="87">
        <f>L521</f>
        <v>238413.90000000002</v>
      </c>
      <c r="I539" s="87">
        <f>L526</f>
        <v>0</v>
      </c>
      <c r="J539" s="87">
        <f>L531</f>
        <v>430904.38</v>
      </c>
      <c r="K539" s="87">
        <f>SUM(F539:J539)</f>
        <v>7537539.6500000013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1944366.6500000001</v>
      </c>
      <c r="G540" s="87">
        <f>L517</f>
        <v>489405.48</v>
      </c>
      <c r="H540" s="87">
        <f>L522</f>
        <v>65084.24</v>
      </c>
      <c r="I540" s="87">
        <f>L527</f>
        <v>0</v>
      </c>
      <c r="J540" s="87">
        <f>L532</f>
        <v>148722.84</v>
      </c>
      <c r="K540" s="87">
        <f>SUM(F540:J540)</f>
        <v>2647579.21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3320436.21</v>
      </c>
      <c r="G541" s="87">
        <f>L518</f>
        <v>858450.47000000009</v>
      </c>
      <c r="H541" s="87">
        <f>L523</f>
        <v>46387.13</v>
      </c>
      <c r="I541" s="87">
        <f>L528</f>
        <v>46327.22</v>
      </c>
      <c r="J541" s="87">
        <f>L533</f>
        <v>196133.8</v>
      </c>
      <c r="K541" s="87">
        <f>SUM(F541:J541)</f>
        <v>4467734.83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10164751.830000002</v>
      </c>
      <c r="G542" s="89">
        <f t="shared" si="41"/>
        <v>3316128.35</v>
      </c>
      <c r="H542" s="89">
        <f t="shared" si="41"/>
        <v>349885.27</v>
      </c>
      <c r="I542" s="89">
        <f t="shared" si="41"/>
        <v>46327.22</v>
      </c>
      <c r="J542" s="89">
        <f t="shared" si="41"/>
        <v>775761.02</v>
      </c>
      <c r="K542" s="89">
        <f t="shared" si="41"/>
        <v>14652853.690000001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83352.66</v>
      </c>
      <c r="G552" s="18">
        <f>24889.6+1400+202.54+250+5940.62+6243+266.76</f>
        <v>39192.519999999997</v>
      </c>
      <c r="H552" s="18"/>
      <c r="I552" s="18">
        <v>2185.65</v>
      </c>
      <c r="J552" s="18">
        <v>330.62</v>
      </c>
      <c r="K552" s="18"/>
      <c r="L552" s="88">
        <f>SUM(F552:K552)</f>
        <v>125061.44999999998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83352.66</v>
      </c>
      <c r="G555" s="89">
        <f t="shared" si="43"/>
        <v>39192.519999999997</v>
      </c>
      <c r="H555" s="89">
        <f t="shared" si="43"/>
        <v>0</v>
      </c>
      <c r="I555" s="89">
        <f t="shared" si="43"/>
        <v>2185.65</v>
      </c>
      <c r="J555" s="89">
        <f t="shared" si="43"/>
        <v>330.62</v>
      </c>
      <c r="K555" s="89">
        <f t="shared" si="43"/>
        <v>0</v>
      </c>
      <c r="L555" s="89">
        <f t="shared" si="43"/>
        <v>125061.44999999998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500</v>
      </c>
      <c r="G557" s="18">
        <f>38.24+37.46+1.6</f>
        <v>77.3</v>
      </c>
      <c r="H557" s="18"/>
      <c r="I557" s="18"/>
      <c r="J557" s="18"/>
      <c r="K557" s="18">
        <f>3750+3503.34+4706.52+5801.99+2499.99+2400</f>
        <v>22661.839999999997</v>
      </c>
      <c r="L557" s="88">
        <f>SUM(F557:K557)</f>
        <v>23239.139999999996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2272</v>
      </c>
      <c r="G558" s="18">
        <f>173.82+171.36+7.28</f>
        <v>352.46</v>
      </c>
      <c r="H558" s="18"/>
      <c r="I558" s="18"/>
      <c r="J558" s="18"/>
      <c r="K558" s="18">
        <v>6988.26</v>
      </c>
      <c r="L558" s="88">
        <f>SUM(F558:K558)</f>
        <v>9612.7200000000012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2772</v>
      </c>
      <c r="G560" s="194">
        <f t="shared" ref="G560:L560" si="44">SUM(G557:G559)</f>
        <v>429.76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29650.1</v>
      </c>
      <c r="L560" s="194">
        <f t="shared" si="44"/>
        <v>32851.86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86124.66</v>
      </c>
      <c r="G561" s="89">
        <f t="shared" ref="G561:L561" si="45">G550+G555+G560</f>
        <v>39622.28</v>
      </c>
      <c r="H561" s="89">
        <f t="shared" si="45"/>
        <v>0</v>
      </c>
      <c r="I561" s="89">
        <f t="shared" si="45"/>
        <v>2185.65</v>
      </c>
      <c r="J561" s="89">
        <f t="shared" si="45"/>
        <v>330.62</v>
      </c>
      <c r="K561" s="89">
        <f t="shared" si="45"/>
        <v>29650.1</v>
      </c>
      <c r="L561" s="89">
        <f t="shared" si="45"/>
        <v>157913.31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731001.08</v>
      </c>
      <c r="G572" s="18">
        <v>503374.72</v>
      </c>
      <c r="H572" s="18">
        <v>899347.23</v>
      </c>
      <c r="I572" s="87">
        <f t="shared" si="46"/>
        <v>2133723.0299999998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230964.01</v>
      </c>
      <c r="I581" s="18">
        <v>153976.98000000001</v>
      </c>
      <c r="J581" s="18">
        <v>384940.01</v>
      </c>
      <c r="K581" s="104">
        <f t="shared" ref="K581:K587" si="47">SUM(H581:J581)</f>
        <v>769881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430491.44+412.94</f>
        <v>430904.38</v>
      </c>
      <c r="I582" s="18">
        <f>146535.34+2187.5</f>
        <v>148722.84</v>
      </c>
      <c r="J582" s="18">
        <f>192719.68+87.5+1818.59+1508.03</f>
        <v>196133.8</v>
      </c>
      <c r="K582" s="104">
        <f t="shared" si="47"/>
        <v>775761.02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664.86</v>
      </c>
      <c r="K583" s="104">
        <f t="shared" si="47"/>
        <v>664.86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16000</v>
      </c>
      <c r="J584" s="18">
        <v>122011</v>
      </c>
      <c r="K584" s="104">
        <f t="shared" si="47"/>
        <v>138011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19568-412.94</f>
        <v>19155.060000000001</v>
      </c>
      <c r="I585" s="18">
        <f>8238.87-2187.5</f>
        <v>6051.3700000000008</v>
      </c>
      <c r="J585" s="18">
        <f>23998.23-87.5-1818.59</f>
        <v>22092.14</v>
      </c>
      <c r="K585" s="104">
        <f t="shared" si="47"/>
        <v>47298.57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>
        <v>4420.8</v>
      </c>
      <c r="J587" s="18"/>
      <c r="K587" s="104">
        <f t="shared" si="47"/>
        <v>4420.8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681023.45000000007</v>
      </c>
      <c r="I588" s="108">
        <f>SUM(I581:I587)</f>
        <v>329171.99</v>
      </c>
      <c r="J588" s="108">
        <f>SUM(J581:J587)</f>
        <v>725841.81</v>
      </c>
      <c r="K588" s="108">
        <f>SUM(K581:K587)</f>
        <v>1736037.2500000002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19746.77+192263.37+1506.52</f>
        <v>213516.65999999997</v>
      </c>
      <c r="I594" s="18">
        <f>13164.51+132013.91+1004.35</f>
        <v>146182.77000000002</v>
      </c>
      <c r="J594" s="18">
        <f>32911.29+392100.85+2510.89</f>
        <v>427523.02999999997</v>
      </c>
      <c r="K594" s="104">
        <f>SUM(H594:J594)</f>
        <v>787222.46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213516.65999999997</v>
      </c>
      <c r="I595" s="108">
        <f>SUM(I592:I594)</f>
        <v>146182.77000000002</v>
      </c>
      <c r="J595" s="108">
        <f>SUM(J592:J594)</f>
        <v>427523.02999999997</v>
      </c>
      <c r="K595" s="108">
        <f>SUM(K592:K594)</f>
        <v>787222.46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9900</v>
      </c>
      <c r="G601" s="18">
        <f>757.34+573.02+31.68</f>
        <v>1362.0400000000002</v>
      </c>
      <c r="H601" s="18">
        <v>2646</v>
      </c>
      <c r="I601" s="18">
        <v>401.5</v>
      </c>
      <c r="J601" s="18"/>
      <c r="K601" s="18"/>
      <c r="L601" s="88">
        <f>SUM(F601:K601)</f>
        <v>14309.54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2462.5</v>
      </c>
      <c r="G602" s="18">
        <f>188.38+200.52+4.8</f>
        <v>393.7</v>
      </c>
      <c r="H602" s="18"/>
      <c r="I602" s="18"/>
      <c r="J602" s="18"/>
      <c r="K602" s="18"/>
      <c r="L602" s="88">
        <f>SUM(F602:K602)</f>
        <v>2856.2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12056.91</v>
      </c>
      <c r="G603" s="18">
        <f>922.36+937.25+38.59</f>
        <v>1898.2</v>
      </c>
      <c r="H603" s="18"/>
      <c r="I603" s="18">
        <v>847.73</v>
      </c>
      <c r="J603" s="18"/>
      <c r="K603" s="18"/>
      <c r="L603" s="88">
        <f>SUM(F603:K603)</f>
        <v>14802.84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24419.41</v>
      </c>
      <c r="G604" s="108">
        <f t="shared" si="48"/>
        <v>3653.9400000000005</v>
      </c>
      <c r="H604" s="108">
        <f t="shared" si="48"/>
        <v>2646</v>
      </c>
      <c r="I604" s="108">
        <f t="shared" si="48"/>
        <v>1249.23</v>
      </c>
      <c r="J604" s="108">
        <f t="shared" si="48"/>
        <v>0</v>
      </c>
      <c r="K604" s="108">
        <f t="shared" si="48"/>
        <v>0</v>
      </c>
      <c r="L604" s="89">
        <f t="shared" si="48"/>
        <v>31968.58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6264322.8099999996</v>
      </c>
      <c r="H607" s="109">
        <f>SUM(F44)</f>
        <v>6264322.8100000005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265704.84000000003</v>
      </c>
      <c r="H608" s="109">
        <f>SUM(G44)</f>
        <v>265704.84000000003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850401.89999999991</v>
      </c>
      <c r="H609" s="109">
        <f>SUM(H44)</f>
        <v>850401.9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4938455.5999999996</v>
      </c>
      <c r="H610" s="109">
        <f>SUM(I44)</f>
        <v>4938455.5999999978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2307.7600000000002</v>
      </c>
      <c r="H611" s="109">
        <f>SUM(J44)</f>
        <v>2307.7600000000002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3138874.99</v>
      </c>
      <c r="H612" s="109">
        <f>F466</f>
        <v>3138874.9899999946</v>
      </c>
      <c r="I612" s="121" t="s">
        <v>106</v>
      </c>
      <c r="J612" s="109">
        <f t="shared" ref="J612:J645" si="49">G612-H612</f>
        <v>5.5879354476928711E-9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265704.84000000003</v>
      </c>
      <c r="H613" s="109">
        <f>G466</f>
        <v>265704.83999999985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304675.89</v>
      </c>
      <c r="H614" s="109">
        <f>H466</f>
        <v>304675.89000000013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-30022250.120000001</v>
      </c>
      <c r="H615" s="109">
        <f>I466</f>
        <v>-30022250.119999997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2307.7600000000002</v>
      </c>
      <c r="H616" s="109">
        <f>J466</f>
        <v>2307.7599999999998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54084168.049999997</v>
      </c>
      <c r="H617" s="104">
        <f>SUM(F458)</f>
        <v>54084168.049999997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1493997.98</v>
      </c>
      <c r="H618" s="104">
        <f>SUM(G458)</f>
        <v>1493997.98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2764606.75</v>
      </c>
      <c r="H619" s="104">
        <f>SUM(H458)</f>
        <v>2764606.75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1000706.92</v>
      </c>
      <c r="H620" s="104">
        <f>SUM(I458)</f>
        <v>1000706.92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4.5999999999999996</v>
      </c>
      <c r="H621" s="104">
        <f>SUM(J458)</f>
        <v>4.5999999999999996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52361539.840000004</v>
      </c>
      <c r="H622" s="104">
        <f>SUM(F462)</f>
        <v>52361539.840000004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2847930.4299999997</v>
      </c>
      <c r="H623" s="104">
        <f>SUM(H462)</f>
        <v>2847930.4299999997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709938.4</v>
      </c>
      <c r="H624" s="104">
        <f>I361</f>
        <v>709938.4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1435206.6</v>
      </c>
      <c r="H625" s="104">
        <f>SUM(G462)</f>
        <v>1435206.6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30883633.580000002</v>
      </c>
      <c r="H626" s="104">
        <f>SUM(I462)</f>
        <v>30883633.579999998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4.5999999999999996</v>
      </c>
      <c r="H627" s="164">
        <f>SUM(J458)</f>
        <v>4.5999999999999996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2307.7600000000002</v>
      </c>
      <c r="H629" s="104">
        <f>SUM(F451)</f>
        <v>2307.7600000000002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2307.7600000000002</v>
      </c>
      <c r="H632" s="104">
        <f>SUM(I451)</f>
        <v>2307.7600000000002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4.5999999999999996</v>
      </c>
      <c r="H634" s="104">
        <f>H400</f>
        <v>4.5999999999999996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4.5999999999999996</v>
      </c>
      <c r="H636" s="104">
        <f>L400</f>
        <v>4.5999999999999996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1736037.2500000002</v>
      </c>
      <c r="H637" s="104">
        <f>L200+L218+L236</f>
        <v>1736037.25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787222.46</v>
      </c>
      <c r="H638" s="104">
        <f>(J249+J330)-(J247+J328)</f>
        <v>787222.46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681023.45</v>
      </c>
      <c r="H639" s="104">
        <f>H588</f>
        <v>681023.45000000007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329171.99</v>
      </c>
      <c r="H640" s="104">
        <f>I588</f>
        <v>329171.99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725841.80999999994</v>
      </c>
      <c r="H641" s="104">
        <f>J588</f>
        <v>725841.81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1000706.92</v>
      </c>
      <c r="H644" s="104">
        <f>K257+K338</f>
        <v>1000706.92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20607506.679999996</v>
      </c>
      <c r="G650" s="19">
        <f>(L221+L301+L351)</f>
        <v>10068099.010000002</v>
      </c>
      <c r="H650" s="19">
        <f>(L239+L320+L352)</f>
        <v>22888404.410000004</v>
      </c>
      <c r="I650" s="19">
        <f>SUM(F650:H650)</f>
        <v>53564010.100000001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217435.83724334231</v>
      </c>
      <c r="G651" s="19">
        <f>(L351/IF(SUM(L350:L352)=0,1,SUM(L350:L352))*(SUM(G89:G102)))</f>
        <v>134824.45284522529</v>
      </c>
      <c r="H651" s="19">
        <f>(L352/IF(SUM(L350:L352)=0,1,SUM(L350:L352))*(SUM(G89:G102)))</f>
        <v>617020.97991143249</v>
      </c>
      <c r="I651" s="19">
        <f>SUM(F651:H651)</f>
        <v>969281.27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682536.45</v>
      </c>
      <c r="G652" s="19">
        <f>(L218+L298)-(J218+J298)</f>
        <v>329171.99</v>
      </c>
      <c r="H652" s="19">
        <f>(L236+L317)-(J236+J317)</f>
        <v>725841.80999999994</v>
      </c>
      <c r="I652" s="19">
        <f>SUM(F652:H652)</f>
        <v>1737550.25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958827.28</v>
      </c>
      <c r="G653" s="200">
        <f>SUM(G565:G577)+SUM(I592:I594)+L602</f>
        <v>652413.68999999994</v>
      </c>
      <c r="H653" s="200">
        <f>SUM(H565:H577)+SUM(J592:J594)+L603</f>
        <v>1341673.1000000001</v>
      </c>
      <c r="I653" s="19">
        <f>SUM(F653:H653)</f>
        <v>2952914.0700000003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18748707.112756655</v>
      </c>
      <c r="G654" s="19">
        <f>G650-SUM(G651:G653)</f>
        <v>8951688.8771547768</v>
      </c>
      <c r="H654" s="19">
        <f>H650-SUM(H651:H653)</f>
        <v>20203868.520088572</v>
      </c>
      <c r="I654" s="19">
        <f>I650-SUM(I651:I653)</f>
        <v>47904264.510000005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1212.68</v>
      </c>
      <c r="G655" s="249">
        <v>650.69000000000005</v>
      </c>
      <c r="H655" s="249">
        <v>1642.82</v>
      </c>
      <c r="I655" s="19">
        <f>SUM(F655:H655)</f>
        <v>3506.19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15460.56</v>
      </c>
      <c r="G657" s="19">
        <f>ROUND(G654/G655,2)</f>
        <v>13757.23</v>
      </c>
      <c r="H657" s="19">
        <f>ROUND(H654/H655,2)</f>
        <v>12298.28</v>
      </c>
      <c r="I657" s="19">
        <f>ROUND(I654/I655,2)</f>
        <v>13662.77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18.05</v>
      </c>
      <c r="I660" s="19">
        <f>SUM(F660:H660)</f>
        <v>18.05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15460.56</v>
      </c>
      <c r="G662" s="19">
        <f>ROUND((G654+G659)/(G655+G660),2)</f>
        <v>13757.23</v>
      </c>
      <c r="H662" s="19">
        <f>ROUND((H654+H659)/(H655+H660),2)</f>
        <v>12164.63</v>
      </c>
      <c r="I662" s="19">
        <f>ROUND((I654+I659)/(I655+I660),2)</f>
        <v>13592.79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A209-A1EA-4E8C-8BDD-1EDCA26F7FD0}">
  <sheetPr>
    <tabColor indexed="20"/>
  </sheetPr>
  <dimension ref="A1:C52"/>
  <sheetViews>
    <sheetView topLeftCell="A22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Keene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14014761.970000001</v>
      </c>
      <c r="C9" s="230">
        <f>'DOE25'!G189+'DOE25'!G207+'DOE25'!G225+'DOE25'!G268+'DOE25'!G287+'DOE25'!G306</f>
        <v>4854853.3299999991</v>
      </c>
    </row>
    <row r="10" spans="1:3" x14ac:dyDescent="0.2">
      <c r="A10" t="s">
        <v>813</v>
      </c>
      <c r="B10" s="241">
        <v>11706411.9</v>
      </c>
      <c r="C10" s="241">
        <v>4493165.16</v>
      </c>
    </row>
    <row r="11" spans="1:3" x14ac:dyDescent="0.2">
      <c r="A11" t="s">
        <v>814</v>
      </c>
      <c r="B11" s="241">
        <v>602300.11</v>
      </c>
      <c r="C11" s="241">
        <v>231175.35</v>
      </c>
    </row>
    <row r="12" spans="1:3" x14ac:dyDescent="0.2">
      <c r="A12" t="s">
        <v>815</v>
      </c>
      <c r="B12" s="241">
        <v>1706049.96</v>
      </c>
      <c r="C12" s="241">
        <v>130512.82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14014761.969999999</v>
      </c>
      <c r="C13" s="232">
        <f>SUM(C10:C12)</f>
        <v>4854853.33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5862651.1299999999</v>
      </c>
      <c r="C18" s="230">
        <f>'DOE25'!G190+'DOE25'!G208+'DOE25'!G226+'DOE25'!G269+'DOE25'!G288+'DOE25'!G307</f>
        <v>2072944.6400000001</v>
      </c>
    </row>
    <row r="19" spans="1:3" x14ac:dyDescent="0.2">
      <c r="A19" t="s">
        <v>813</v>
      </c>
      <c r="B19" s="241">
        <v>2723452.65</v>
      </c>
      <c r="C19" s="241">
        <v>1383589.05</v>
      </c>
    </row>
    <row r="20" spans="1:3" x14ac:dyDescent="0.2">
      <c r="A20" t="s">
        <v>814</v>
      </c>
      <c r="B20" s="241">
        <v>1040969.19</v>
      </c>
      <c r="C20" s="241">
        <v>528841.05000000005</v>
      </c>
    </row>
    <row r="21" spans="1:3" x14ac:dyDescent="0.2">
      <c r="A21" t="s">
        <v>815</v>
      </c>
      <c r="B21" s="241">
        <v>2098229.29</v>
      </c>
      <c r="C21" s="241">
        <v>160514.54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5862651.1299999999</v>
      </c>
      <c r="C22" s="232">
        <f>SUM(C19:C21)</f>
        <v>2072944.6400000001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818077.83</v>
      </c>
      <c r="C27" s="235">
        <f>'DOE25'!G191+'DOE25'!G209+'DOE25'!G227+'DOE25'!G270+'DOE25'!G289+'DOE25'!G308</f>
        <v>312186.91000000003</v>
      </c>
    </row>
    <row r="28" spans="1:3" x14ac:dyDescent="0.2">
      <c r="A28" t="s">
        <v>813</v>
      </c>
      <c r="B28" s="241">
        <v>774546.81</v>
      </c>
      <c r="C28" s="241">
        <v>295575.03000000003</v>
      </c>
    </row>
    <row r="29" spans="1:3" x14ac:dyDescent="0.2">
      <c r="A29" t="s">
        <v>814</v>
      </c>
      <c r="B29" s="241">
        <v>43531.02</v>
      </c>
      <c r="C29" s="241">
        <v>16611.88</v>
      </c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818077.83000000007</v>
      </c>
      <c r="C31" s="232">
        <f>SUM(C28:C30)</f>
        <v>312186.91000000003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413590.25999999995</v>
      </c>
      <c r="C36" s="236">
        <f>'DOE25'!G192+'DOE25'!G210+'DOE25'!G228+'DOE25'!G271+'DOE25'!G290+'DOE25'!G309</f>
        <v>69193.48000000001</v>
      </c>
    </row>
    <row r="37" spans="1:3" x14ac:dyDescent="0.2">
      <c r="A37" t="s">
        <v>813</v>
      </c>
      <c r="B37" s="241">
        <v>319638.49</v>
      </c>
      <c r="C37" s="241">
        <v>53475.39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93951.77</v>
      </c>
      <c r="C39" s="241">
        <v>15718.09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413590.26</v>
      </c>
      <c r="C40" s="232">
        <f>SUM(C37:C39)</f>
        <v>69193.48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BAAF-B40B-47A8-B74F-988BE06AF535}">
  <sheetPr>
    <tabColor indexed="11"/>
  </sheetPr>
  <dimension ref="A1:I51"/>
  <sheetViews>
    <sheetView workbookViewId="0">
      <pane ySplit="4" topLeftCell="A32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Keene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30885180.939999998</v>
      </c>
      <c r="D5" s="20">
        <f>SUM('DOE25'!L189:L192)+SUM('DOE25'!L207:L210)+SUM('DOE25'!L225:L228)-F5-G5</f>
        <v>30681903.629999995</v>
      </c>
      <c r="E5" s="244"/>
      <c r="F5" s="256">
        <f>SUM('DOE25'!J189:J192)+SUM('DOE25'!J207:J210)+SUM('DOE25'!J225:J228)</f>
        <v>159494.1</v>
      </c>
      <c r="G5" s="53">
        <f>SUM('DOE25'!K189:K192)+SUM('DOE25'!K207:K210)+SUM('DOE25'!K225:K228)</f>
        <v>43783.21</v>
      </c>
      <c r="H5" s="260"/>
    </row>
    <row r="6" spans="1:9" x14ac:dyDescent="0.2">
      <c r="A6" s="32">
        <v>2100</v>
      </c>
      <c r="B6" t="s">
        <v>835</v>
      </c>
      <c r="C6" s="246">
        <f t="shared" si="0"/>
        <v>4887721.5199999996</v>
      </c>
      <c r="D6" s="20">
        <f>'DOE25'!L194+'DOE25'!L212+'DOE25'!L230-F6-G6</f>
        <v>4883668.84</v>
      </c>
      <c r="E6" s="244"/>
      <c r="F6" s="256">
        <f>'DOE25'!J194+'DOE25'!J212+'DOE25'!J230</f>
        <v>3402.6800000000003</v>
      </c>
      <c r="G6" s="53">
        <f>'DOE25'!K194+'DOE25'!K212+'DOE25'!K230</f>
        <v>650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1168459.6499999999</v>
      </c>
      <c r="D7" s="20">
        <f>'DOE25'!L195+'DOE25'!L213+'DOE25'!L231-F7-G7</f>
        <v>1146766.5900000001</v>
      </c>
      <c r="E7" s="244"/>
      <c r="F7" s="256">
        <f>'DOE25'!J195+'DOE25'!J213+'DOE25'!J231</f>
        <v>16077.93</v>
      </c>
      <c r="G7" s="53">
        <f>'DOE25'!K195+'DOE25'!K213+'DOE25'!K231</f>
        <v>5615.13</v>
      </c>
      <c r="H7" s="260"/>
    </row>
    <row r="8" spans="1:9" x14ac:dyDescent="0.2">
      <c r="A8" s="32">
        <v>2300</v>
      </c>
      <c r="B8" t="s">
        <v>836</v>
      </c>
      <c r="C8" s="246">
        <f t="shared" si="0"/>
        <v>1697488.6199999999</v>
      </c>
      <c r="D8" s="244"/>
      <c r="E8" s="20">
        <f>'DOE25'!L196+'DOE25'!L214+'DOE25'!L232-F8-G8-D9-D11</f>
        <v>1661770.4</v>
      </c>
      <c r="F8" s="256">
        <f>'DOE25'!J196+'DOE25'!J214+'DOE25'!J232</f>
        <v>0</v>
      </c>
      <c r="G8" s="53">
        <f>'DOE25'!K196+'DOE25'!K214+'DOE25'!K232</f>
        <v>35718.22</v>
      </c>
      <c r="H8" s="260"/>
    </row>
    <row r="9" spans="1:9" x14ac:dyDescent="0.2">
      <c r="A9" s="32">
        <v>2310</v>
      </c>
      <c r="B9" t="s">
        <v>852</v>
      </c>
      <c r="C9" s="246">
        <f t="shared" si="0"/>
        <v>317397.28999999998</v>
      </c>
      <c r="D9" s="245">
        <v>317397.28999999998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32000</v>
      </c>
      <c r="D10" s="244"/>
      <c r="E10" s="245">
        <v>32000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206049</v>
      </c>
      <c r="D11" s="245">
        <f>156155+49894</f>
        <v>206049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3058658.92</v>
      </c>
      <c r="D12" s="20">
        <f>'DOE25'!L197+'DOE25'!L215+'DOE25'!L233-F12-G12</f>
        <v>3038303.41</v>
      </c>
      <c r="E12" s="244"/>
      <c r="F12" s="256">
        <f>'DOE25'!J197+'DOE25'!J215+'DOE25'!J233</f>
        <v>7351.51</v>
      </c>
      <c r="G12" s="53">
        <f>'DOE25'!K197+'DOE25'!K215+'DOE25'!K233</f>
        <v>13004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12333.51</v>
      </c>
      <c r="D13" s="244"/>
      <c r="E13" s="20">
        <f>'DOE25'!L198+'DOE25'!L216+'DOE25'!L234-F13-G13</f>
        <v>1834.42</v>
      </c>
      <c r="F13" s="256">
        <f>'DOE25'!J198+'DOE25'!J216+'DOE25'!J234</f>
        <v>0</v>
      </c>
      <c r="G13" s="53">
        <f>'DOE25'!K198+'DOE25'!K216+'DOE25'!K234</f>
        <v>10499.09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4747583.49</v>
      </c>
      <c r="D14" s="20">
        <f>'DOE25'!L199+'DOE25'!L217+'DOE25'!L235-F14-G14</f>
        <v>4646387.67</v>
      </c>
      <c r="E14" s="244"/>
      <c r="F14" s="256">
        <f>'DOE25'!J199+'DOE25'!J217+'DOE25'!J235</f>
        <v>96512.98</v>
      </c>
      <c r="G14" s="53">
        <f>'DOE25'!K199+'DOE25'!K217+'DOE25'!K235</f>
        <v>4682.84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1736037.25</v>
      </c>
      <c r="D15" s="20">
        <f>'DOE25'!L200+'DOE25'!L218+'DOE25'!L236-F15-G15</f>
        <v>1736037.25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965262.88</v>
      </c>
      <c r="D16" s="244"/>
      <c r="E16" s="20">
        <f>'DOE25'!L201+'DOE25'!L219+'DOE25'!L237-F16-G16</f>
        <v>573553.34</v>
      </c>
      <c r="F16" s="256">
        <f>'DOE25'!J201+'DOE25'!J219+'DOE25'!J237</f>
        <v>391709.54000000004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5060.75</v>
      </c>
      <c r="D22" s="244"/>
      <c r="E22" s="244"/>
      <c r="F22" s="256">
        <f>'DOE25'!L247+'DOE25'!L328</f>
        <v>5060.75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1673599.1</v>
      </c>
      <c r="D25" s="244"/>
      <c r="E25" s="244"/>
      <c r="F25" s="259"/>
      <c r="G25" s="257"/>
      <c r="H25" s="258">
        <f>'DOE25'!L252+'DOE25'!L253+'DOE25'!L333+'DOE25'!L334</f>
        <v>1673599.1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758832.22000000009</v>
      </c>
      <c r="D29" s="20">
        <f>'DOE25'!L350+'DOE25'!L351+'DOE25'!L352-'DOE25'!I359-F29-G29</f>
        <v>708799.27</v>
      </c>
      <c r="E29" s="244"/>
      <c r="F29" s="256">
        <f>'DOE25'!J350+'DOE25'!J351+'DOE25'!J352</f>
        <v>44332.91</v>
      </c>
      <c r="G29" s="53">
        <f>'DOE25'!K350+'DOE25'!K351+'DOE25'!K352</f>
        <v>5700.04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2845760.4299999997</v>
      </c>
      <c r="D31" s="20">
        <f>'DOE25'!L282+'DOE25'!L301+'DOE25'!L320+'DOE25'!L325+'DOE25'!L326+'DOE25'!L327-F31-G31</f>
        <v>2629489.0399999996</v>
      </c>
      <c r="E31" s="244"/>
      <c r="F31" s="256">
        <f>'DOE25'!J282+'DOE25'!J301+'DOE25'!J320+'DOE25'!J325+'DOE25'!J326+'DOE25'!J327</f>
        <v>112673.72</v>
      </c>
      <c r="G31" s="53">
        <f>'DOE25'!K282+'DOE25'!K301+'DOE25'!K320+'DOE25'!K325+'DOE25'!K326+'DOE25'!K327</f>
        <v>103597.67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49994801.99000001</v>
      </c>
      <c r="E33" s="247">
        <f>SUM(E5:E31)</f>
        <v>2269158.1599999997</v>
      </c>
      <c r="F33" s="247">
        <f>SUM(F5:F31)</f>
        <v>836616.12</v>
      </c>
      <c r="G33" s="247">
        <f>SUM(G5:G31)</f>
        <v>223250.19999999998</v>
      </c>
      <c r="H33" s="247">
        <f>SUM(H5:H31)</f>
        <v>1673599.1</v>
      </c>
    </row>
    <row r="35" spans="2:8" ht="12" thickBot="1" x14ac:dyDescent="0.25">
      <c r="B35" s="254" t="s">
        <v>881</v>
      </c>
      <c r="D35" s="255">
        <f>E33</f>
        <v>2269158.1599999997</v>
      </c>
      <c r="E35" s="250"/>
    </row>
    <row r="36" spans="2:8" ht="12" thickTop="1" x14ac:dyDescent="0.2">
      <c r="B36" t="s">
        <v>849</v>
      </c>
      <c r="D36" s="20">
        <f>D33</f>
        <v>49994801.99000001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C591-0DDD-493D-AFE6-A15872F3146B}">
  <sheetPr transitionEvaluation="1" codeName="Sheet2">
    <tabColor indexed="10"/>
  </sheetPr>
  <dimension ref="A1:I156"/>
  <sheetViews>
    <sheetView zoomScale="75" workbookViewId="0">
      <pane ySplit="2" topLeftCell="A114" activePane="bottomLeft" state="frozen"/>
      <selection pane="bottomLeft" activeCell="F27" sqref="F27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Keene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5665519.0299999993</v>
      </c>
      <c r="D9" s="95">
        <f>'DOE25'!G9</f>
        <v>265704.84000000003</v>
      </c>
      <c r="E9" s="95">
        <f>'DOE25'!H9</f>
        <v>411245.06</v>
      </c>
      <c r="F9" s="95">
        <f>'DOE25'!I9</f>
        <v>4938455.5999999996</v>
      </c>
      <c r="G9" s="95">
        <f>'DOE25'!J9</f>
        <v>2307.7600000000002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375772.59</v>
      </c>
      <c r="D12" s="95">
        <f>'DOE25'!G12</f>
        <v>0</v>
      </c>
      <c r="E12" s="95">
        <f>'DOE25'!H12</f>
        <v>7453.1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181954.49</v>
      </c>
      <c r="D13" s="95">
        <f>'DOE25'!G13</f>
        <v>0</v>
      </c>
      <c r="E13" s="95">
        <f>'DOE25'!H13</f>
        <v>409131.16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30858.7</v>
      </c>
      <c r="D14" s="95">
        <f>'DOE25'!G14</f>
        <v>0</v>
      </c>
      <c r="E14" s="95">
        <f>'DOE25'!H14</f>
        <v>20097.580000000002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10218</v>
      </c>
      <c r="D17" s="95">
        <f>'DOE25'!G17</f>
        <v>0</v>
      </c>
      <c r="E17" s="95">
        <f>'DOE25'!H17</f>
        <v>2475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6264322.8099999996</v>
      </c>
      <c r="D19" s="41">
        <f>SUM(D9:D18)</f>
        <v>265704.84000000003</v>
      </c>
      <c r="E19" s="41">
        <f>SUM(E9:E18)</f>
        <v>850401.89999999991</v>
      </c>
      <c r="F19" s="41">
        <f>SUM(F9:F18)</f>
        <v>4938455.5999999996</v>
      </c>
      <c r="G19" s="41">
        <f>SUM(G9:G18)</f>
        <v>2307.7600000000002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383225.69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27703.72</v>
      </c>
      <c r="D23" s="95">
        <f>'DOE25'!G24</f>
        <v>0</v>
      </c>
      <c r="E23" s="95">
        <f>'DOE25'!H24</f>
        <v>1260.0999999999999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259892.44</v>
      </c>
      <c r="D24" s="95">
        <f>'DOE25'!G25</f>
        <v>0</v>
      </c>
      <c r="E24" s="95">
        <f>'DOE25'!H25</f>
        <v>45700.66</v>
      </c>
      <c r="F24" s="95">
        <f>'DOE25'!I25</f>
        <v>1405291.62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23962328.800000001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9593085.3000000007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220341.67</v>
      </c>
      <c r="D28" s="95">
        <f>'DOE25'!G29</f>
        <v>0</v>
      </c>
      <c r="E28" s="95">
        <f>'DOE25'!H29</f>
        <v>16230.34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2617509.9900000002</v>
      </c>
      <c r="D30" s="95">
        <f>'DOE25'!G31</f>
        <v>0</v>
      </c>
      <c r="E30" s="95">
        <f>'DOE25'!H31</f>
        <v>99309.22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3125447.8200000003</v>
      </c>
      <c r="D32" s="41">
        <f>SUM(D22:D31)</f>
        <v>0</v>
      </c>
      <c r="E32" s="41">
        <f>SUM(E22:E31)</f>
        <v>545726.01</v>
      </c>
      <c r="F32" s="41">
        <f>SUM(F22:F31)</f>
        <v>34960705.719999999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460252.18</v>
      </c>
      <c r="D36" s="95">
        <f>'DOE25'!G37</f>
        <v>6332.61</v>
      </c>
      <c r="E36" s="95">
        <f>'DOE25'!H37</f>
        <v>2256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100000</v>
      </c>
      <c r="D40" s="95">
        <f>'DOE25'!G41</f>
        <v>259372.23</v>
      </c>
      <c r="E40" s="95">
        <f>'DOE25'!H41</f>
        <v>302419.89</v>
      </c>
      <c r="F40" s="95">
        <f>'DOE25'!I41</f>
        <v>-30022250.120000001</v>
      </c>
      <c r="G40" s="95">
        <f>'DOE25'!J41</f>
        <v>2307.7600000000002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2578622.81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3138874.99</v>
      </c>
      <c r="D42" s="41">
        <f>SUM(D34:D41)</f>
        <v>265704.84000000003</v>
      </c>
      <c r="E42" s="41">
        <f>SUM(E34:E41)</f>
        <v>304675.89</v>
      </c>
      <c r="F42" s="41">
        <f>SUM(F34:F41)</f>
        <v>-30022250.120000001</v>
      </c>
      <c r="G42" s="41">
        <f>SUM(G34:G41)</f>
        <v>2307.7600000000002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6264322.8100000005</v>
      </c>
      <c r="D43" s="41">
        <f>D42+D32</f>
        <v>265704.84000000003</v>
      </c>
      <c r="E43" s="41">
        <f>E42+E32</f>
        <v>850401.9</v>
      </c>
      <c r="F43" s="41">
        <f>F42+F32</f>
        <v>4938455.5999999978</v>
      </c>
      <c r="G43" s="41">
        <f>G42+G32</f>
        <v>2307.7600000000002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24719444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10401050.829999998</v>
      </c>
      <c r="D49" s="24" t="s">
        <v>312</v>
      </c>
      <c r="E49" s="95">
        <f>'DOE25'!H71</f>
        <v>438044.25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22784.15</v>
      </c>
      <c r="D51" s="95">
        <f>'DOE25'!G88</f>
        <v>604.37</v>
      </c>
      <c r="E51" s="95">
        <f>'DOE25'!H88</f>
        <v>0</v>
      </c>
      <c r="F51" s="95">
        <f>'DOE25'!I88</f>
        <v>0</v>
      </c>
      <c r="G51" s="95">
        <f>'DOE25'!J88</f>
        <v>4.5999999999999996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948781.27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332046.29000000004</v>
      </c>
      <c r="D53" s="95">
        <f>SUM('DOE25'!G90:G102)</f>
        <v>20500</v>
      </c>
      <c r="E53" s="95">
        <f>SUM('DOE25'!H90:H102)</f>
        <v>152254.12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10755881.27</v>
      </c>
      <c r="D54" s="130">
        <f>SUM(D49:D53)</f>
        <v>969885.64</v>
      </c>
      <c r="E54" s="130">
        <f>SUM(E49:E53)</f>
        <v>590298.37</v>
      </c>
      <c r="F54" s="130">
        <f>SUM(F49:F53)</f>
        <v>0</v>
      </c>
      <c r="G54" s="130">
        <f>SUM(G49:G53)</f>
        <v>4.5999999999999996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35475325.269999996</v>
      </c>
      <c r="D55" s="22">
        <f>D48+D54</f>
        <v>969885.64</v>
      </c>
      <c r="E55" s="22">
        <f>E48+E54</f>
        <v>590298.37</v>
      </c>
      <c r="F55" s="22">
        <f>F48+F54</f>
        <v>0</v>
      </c>
      <c r="G55" s="22">
        <f>G48+G54</f>
        <v>4.5999999999999996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7670883.9400000004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4150521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2943080.06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14764485.000000002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898015.92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1179585.54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173517.12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12739.38</v>
      </c>
      <c r="E69" s="95">
        <f>SUM('DOE25'!H123:H127)</f>
        <v>34950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2251118.58</v>
      </c>
      <c r="D70" s="130">
        <f>SUM(D64:D69)</f>
        <v>12739.38</v>
      </c>
      <c r="E70" s="130">
        <f>SUM(E64:E69)</f>
        <v>34950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17015603.580000002</v>
      </c>
      <c r="D73" s="130">
        <f>SUM(D71:D72)+D70+D62</f>
        <v>12739.38</v>
      </c>
      <c r="E73" s="130">
        <f>SUM(E71:E72)+E70+E62</f>
        <v>34950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583239.19999999995</v>
      </c>
      <c r="D80" s="95">
        <f>SUM('DOE25'!G145:G153)</f>
        <v>511372.96</v>
      </c>
      <c r="E80" s="95">
        <f>SUM('DOE25'!H145:H153)</f>
        <v>2139358.38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583239.19999999995</v>
      </c>
      <c r="D83" s="131">
        <f>SUM(D77:D82)</f>
        <v>511372.96</v>
      </c>
      <c r="E83" s="131">
        <f>SUM(E77:E82)</f>
        <v>2139358.38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1000706.92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1010000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1010000</v>
      </c>
      <c r="D95" s="86">
        <f>SUM(D85:D94)</f>
        <v>0</v>
      </c>
      <c r="E95" s="86">
        <f>SUM(E85:E94)</f>
        <v>0</v>
      </c>
      <c r="F95" s="86">
        <f>SUM(F85:F94)</f>
        <v>1000706.92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54084168.049999997</v>
      </c>
      <c r="D96" s="86">
        <f>D55+D73+D83+D95</f>
        <v>1493997.98</v>
      </c>
      <c r="E96" s="86">
        <f>E55+E73+E83+E95</f>
        <v>2764606.75</v>
      </c>
      <c r="F96" s="86">
        <f>F55+F73+F83+F95</f>
        <v>1000706.92</v>
      </c>
      <c r="G96" s="86">
        <f>G55+G73+G95</f>
        <v>4.5999999999999996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19192646.189999998</v>
      </c>
      <c r="D101" s="24" t="s">
        <v>312</v>
      </c>
      <c r="E101" s="95">
        <f>('DOE25'!L268)+('DOE25'!L287)+('DOE25'!L306)</f>
        <v>939785.54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9887649.0500000007</v>
      </c>
      <c r="D102" s="24" t="s">
        <v>312</v>
      </c>
      <c r="E102" s="95">
        <f>('DOE25'!L269)+('DOE25'!L288)+('DOE25'!L307)</f>
        <v>452881.6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1163333.5099999998</v>
      </c>
      <c r="D103" s="24" t="s">
        <v>312</v>
      </c>
      <c r="E103" s="95">
        <f>('DOE25'!L270)+('DOE25'!L289)+('DOE25'!L308)</f>
        <v>136780.47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641552.18999999994</v>
      </c>
      <c r="D104" s="24" t="s">
        <v>312</v>
      </c>
      <c r="E104" s="95">
        <f>+('DOE25'!L271)+('DOE25'!L290)+('DOE25'!L309)</f>
        <v>22080.079999999998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2170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399130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30885180.940000001</v>
      </c>
      <c r="D107" s="86">
        <f>SUM(D101:D106)</f>
        <v>0</v>
      </c>
      <c r="E107" s="86">
        <f>SUM(E101:E106)</f>
        <v>1952827.6900000002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4887721.5199999996</v>
      </c>
      <c r="D110" s="24" t="s">
        <v>312</v>
      </c>
      <c r="E110" s="95">
        <f>+('DOE25'!L273)+('DOE25'!L292)+('DOE25'!L311)</f>
        <v>85742.339999999982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1168459.6499999999</v>
      </c>
      <c r="D111" s="24" t="s">
        <v>312</v>
      </c>
      <c r="E111" s="95">
        <f>+('DOE25'!L274)+('DOE25'!L293)+('DOE25'!L312)</f>
        <v>565727.54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2220934.91</v>
      </c>
      <c r="D112" s="24" t="s">
        <v>312</v>
      </c>
      <c r="E112" s="95">
        <f>+('DOE25'!L275)+('DOE25'!L294)+('DOE25'!L313)</f>
        <v>110358.77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3058658.92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12333.51</v>
      </c>
      <c r="D114" s="24" t="s">
        <v>312</v>
      </c>
      <c r="E114" s="95">
        <f>+('DOE25'!L277)+('DOE25'!L296)+('DOE25'!L315)</f>
        <v>94080.95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4747583.49</v>
      </c>
      <c r="D115" s="24" t="s">
        <v>312</v>
      </c>
      <c r="E115" s="95">
        <f>+('DOE25'!L278)+('DOE25'!L297)+('DOE25'!L316)</f>
        <v>37680.14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1736037.25</v>
      </c>
      <c r="D116" s="24" t="s">
        <v>312</v>
      </c>
      <c r="E116" s="95">
        <f>+('DOE25'!L279)+('DOE25'!L298)+('DOE25'!L317)</f>
        <v>1513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965262.88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1435206.6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18796992.129999999</v>
      </c>
      <c r="D120" s="86">
        <f>SUM(D110:D119)</f>
        <v>1435206.6</v>
      </c>
      <c r="E120" s="86">
        <f>SUM(E110:E119)</f>
        <v>895102.74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5060.75</v>
      </c>
      <c r="D122" s="24" t="s">
        <v>312</v>
      </c>
      <c r="E122" s="129">
        <f>'DOE25'!L328</f>
        <v>0</v>
      </c>
      <c r="F122" s="129">
        <f>SUM('DOE25'!L366:'DOE25'!L372)</f>
        <v>30883633.580000002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1150000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523599.1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1000706.92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4.5999999999999996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-4.5999999999999996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2679366.77</v>
      </c>
      <c r="D136" s="141">
        <f>SUM(D122:D135)</f>
        <v>0</v>
      </c>
      <c r="E136" s="141">
        <f>SUM(E122:E135)</f>
        <v>0</v>
      </c>
      <c r="F136" s="141">
        <f>SUM(F122:F135)</f>
        <v>30883633.580000002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52361539.840000004</v>
      </c>
      <c r="D137" s="86">
        <f>(D107+D120+D136)</f>
        <v>1435206.6</v>
      </c>
      <c r="E137" s="86">
        <f>(E107+E120+E136)</f>
        <v>2847930.43</v>
      </c>
      <c r="F137" s="86">
        <f>(F107+F120+F136)</f>
        <v>30883633.580000002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10</v>
      </c>
      <c r="D143" s="153">
        <f>'DOE25'!H480</f>
        <v>10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07/99</v>
      </c>
      <c r="C144" s="152" t="str">
        <f>'DOE25'!G481</f>
        <v>08/02</v>
      </c>
      <c r="D144" s="152" t="str">
        <f>'DOE25'!H481</f>
        <v>08/06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08/19</v>
      </c>
      <c r="C145" s="152" t="str">
        <f>'DOE25'!G482</f>
        <v>08/12</v>
      </c>
      <c r="D145" s="152" t="str">
        <f>'DOE25'!H482</f>
        <v>08/16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17500000</v>
      </c>
      <c r="C146" s="137">
        <f>'DOE25'!G483</f>
        <v>1500000</v>
      </c>
      <c r="D146" s="137">
        <f>'DOE25'!H483</f>
        <v>1225000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5.2</v>
      </c>
      <c r="C147" s="137">
        <f>'DOE25'!G484</f>
        <v>3.23</v>
      </c>
      <c r="D147" s="137">
        <f>'DOE25'!H484</f>
        <v>3.79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9625000</v>
      </c>
      <c r="C148" s="137">
        <f>'DOE25'!G485</f>
        <v>600000</v>
      </c>
      <c r="D148" s="137">
        <f>'DOE25'!H485</f>
        <v>975000</v>
      </c>
      <c r="E148" s="137">
        <f>'DOE25'!I485</f>
        <v>0</v>
      </c>
      <c r="F148" s="137">
        <f>'DOE25'!J485</f>
        <v>0</v>
      </c>
      <c r="G148" s="138">
        <f>SUM(B148:F148)</f>
        <v>11200000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875000</v>
      </c>
      <c r="C150" s="137">
        <f>'DOE25'!G487</f>
        <v>150000</v>
      </c>
      <c r="D150" s="137">
        <f>'DOE25'!H487</f>
        <v>125000</v>
      </c>
      <c r="E150" s="137">
        <f>'DOE25'!I487</f>
        <v>0</v>
      </c>
      <c r="F150" s="137">
        <f>'DOE25'!J487</f>
        <v>0</v>
      </c>
      <c r="G150" s="138">
        <f t="shared" si="0"/>
        <v>1150000</v>
      </c>
    </row>
    <row r="151" spans="1:7" x14ac:dyDescent="0.2">
      <c r="A151" s="22" t="s">
        <v>35</v>
      </c>
      <c r="B151" s="137">
        <f>'DOE25'!F488</f>
        <v>8750000</v>
      </c>
      <c r="C151" s="137">
        <f>'DOE25'!G488</f>
        <v>450000</v>
      </c>
      <c r="D151" s="137">
        <f>'DOE25'!H488</f>
        <v>850000</v>
      </c>
      <c r="E151" s="137">
        <f>'DOE25'!I488</f>
        <v>0</v>
      </c>
      <c r="F151" s="137">
        <f>'DOE25'!J488</f>
        <v>0</v>
      </c>
      <c r="G151" s="138">
        <f t="shared" si="0"/>
        <v>10050000</v>
      </c>
    </row>
    <row r="152" spans="1:7" x14ac:dyDescent="0.2">
      <c r="A152" s="22" t="s">
        <v>36</v>
      </c>
      <c r="B152" s="137">
        <f>'DOE25'!F489</f>
        <v>2296875</v>
      </c>
      <c r="C152" s="137">
        <f>'DOE25'!G489</f>
        <v>24225</v>
      </c>
      <c r="D152" s="137">
        <f>'DOE25'!H489</f>
        <v>111975</v>
      </c>
      <c r="E152" s="137">
        <f>'DOE25'!I489</f>
        <v>0</v>
      </c>
      <c r="F152" s="137">
        <f>'DOE25'!J489</f>
        <v>0</v>
      </c>
      <c r="G152" s="138">
        <f t="shared" si="0"/>
        <v>2433075</v>
      </c>
    </row>
    <row r="153" spans="1:7" x14ac:dyDescent="0.2">
      <c r="A153" s="22" t="s">
        <v>37</v>
      </c>
      <c r="B153" s="137">
        <f>'DOE25'!F490</f>
        <v>11046875</v>
      </c>
      <c r="C153" s="137">
        <f>'DOE25'!G490</f>
        <v>474225</v>
      </c>
      <c r="D153" s="137">
        <f>'DOE25'!H490</f>
        <v>961975</v>
      </c>
      <c r="E153" s="137">
        <f>'DOE25'!I490</f>
        <v>0</v>
      </c>
      <c r="F153" s="137">
        <f>'DOE25'!J490</f>
        <v>0</v>
      </c>
      <c r="G153" s="138">
        <f t="shared" si="0"/>
        <v>12483075</v>
      </c>
    </row>
    <row r="154" spans="1:7" x14ac:dyDescent="0.2">
      <c r="A154" s="22" t="s">
        <v>38</v>
      </c>
      <c r="B154" s="137">
        <f>'DOE25'!F491</f>
        <v>875000</v>
      </c>
      <c r="C154" s="137">
        <f>'DOE25'!G491</f>
        <v>150000</v>
      </c>
      <c r="D154" s="137">
        <f>'DOE25'!H491</f>
        <v>125000</v>
      </c>
      <c r="E154" s="137">
        <f>'DOE25'!I491</f>
        <v>0</v>
      </c>
      <c r="F154" s="137">
        <f>'DOE25'!J491</f>
        <v>0</v>
      </c>
      <c r="G154" s="138">
        <f t="shared" si="0"/>
        <v>1150000</v>
      </c>
    </row>
    <row r="155" spans="1:7" x14ac:dyDescent="0.2">
      <c r="A155" s="22" t="s">
        <v>39</v>
      </c>
      <c r="B155" s="137">
        <f>'DOE25'!F492</f>
        <v>436406.25</v>
      </c>
      <c r="C155" s="137">
        <f>'DOE25'!G492</f>
        <v>13425</v>
      </c>
      <c r="D155" s="137">
        <f>'DOE25'!H492</f>
        <v>29831.25</v>
      </c>
      <c r="E155" s="137">
        <f>'DOE25'!I492</f>
        <v>0</v>
      </c>
      <c r="F155" s="137">
        <f>'DOE25'!J492</f>
        <v>0</v>
      </c>
      <c r="G155" s="138">
        <f t="shared" si="0"/>
        <v>479662.5</v>
      </c>
    </row>
    <row r="156" spans="1:7" x14ac:dyDescent="0.2">
      <c r="A156" s="22" t="s">
        <v>269</v>
      </c>
      <c r="B156" s="137">
        <f>'DOE25'!F493</f>
        <v>1311406.25</v>
      </c>
      <c r="C156" s="137">
        <f>'DOE25'!G493</f>
        <v>163425</v>
      </c>
      <c r="D156" s="137">
        <f>'DOE25'!H493</f>
        <v>154831.25</v>
      </c>
      <c r="E156" s="137">
        <f>'DOE25'!I493</f>
        <v>0</v>
      </c>
      <c r="F156" s="137">
        <f>'DOE25'!J493</f>
        <v>0</v>
      </c>
      <c r="G156" s="138">
        <f t="shared" si="0"/>
        <v>1629662.5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ACBF-7760-4E84-9DA2-B93AB66035D3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Keene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15461</v>
      </c>
    </row>
    <row r="5" spans="1:4" x14ac:dyDescent="0.2">
      <c r="B5" t="s">
        <v>735</v>
      </c>
      <c r="C5" s="179">
        <f>IF('DOE25'!G655+'DOE25'!G660=0,0,ROUND('DOE25'!G662,0))</f>
        <v>13757</v>
      </c>
    </row>
    <row r="6" spans="1:4" x14ac:dyDescent="0.2">
      <c r="B6" t="s">
        <v>62</v>
      </c>
      <c r="C6" s="179">
        <f>IF('DOE25'!H655+'DOE25'!H660=0,0,ROUND('DOE25'!H662,0))</f>
        <v>12165</v>
      </c>
    </row>
    <row r="7" spans="1:4" x14ac:dyDescent="0.2">
      <c r="B7" t="s">
        <v>736</v>
      </c>
      <c r="C7" s="179">
        <f>IF('DOE25'!I655+'DOE25'!I660=0,0,ROUND('DOE25'!I662,0))</f>
        <v>13593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20132432</v>
      </c>
      <c r="D10" s="182">
        <f>ROUND((C10/$C$28)*100,1)</f>
        <v>37.6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10340531</v>
      </c>
      <c r="D11" s="182">
        <f>ROUND((C11/$C$28)*100,1)</f>
        <v>19.3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1300114</v>
      </c>
      <c r="D12" s="182">
        <f>ROUND((C12/$C$28)*100,1)</f>
        <v>2.4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663632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4973464</v>
      </c>
      <c r="D15" s="182">
        <f t="shared" ref="D15:D27" si="0">ROUND((C15/$C$28)*100,1)</f>
        <v>9.3000000000000007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1734187</v>
      </c>
      <c r="D16" s="182">
        <f t="shared" si="0"/>
        <v>3.2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3296557</v>
      </c>
      <c r="D17" s="182">
        <f t="shared" si="0"/>
        <v>6.2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3058659</v>
      </c>
      <c r="D18" s="182">
        <f t="shared" si="0"/>
        <v>5.7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106414</v>
      </c>
      <c r="D19" s="182">
        <f t="shared" si="0"/>
        <v>0.2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4785264</v>
      </c>
      <c r="D20" s="182">
        <f t="shared" si="0"/>
        <v>8.9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1737550</v>
      </c>
      <c r="D21" s="182">
        <f t="shared" si="0"/>
        <v>3.2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2170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399130</v>
      </c>
      <c r="D24" s="182">
        <f t="shared" si="0"/>
        <v>0.7</v>
      </c>
    </row>
    <row r="25" spans="1:4" x14ac:dyDescent="0.2">
      <c r="A25">
        <v>5120</v>
      </c>
      <c r="B25" t="s">
        <v>751</v>
      </c>
      <c r="C25" s="179">
        <f>ROUND('DOE25'!L253+'DOE25'!L334,0)</f>
        <v>523599</v>
      </c>
      <c r="D25" s="182">
        <f t="shared" si="0"/>
        <v>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465925.73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53519628.729999997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30888694</v>
      </c>
    </row>
    <row r="30" spans="1:4" x14ac:dyDescent="0.2">
      <c r="B30" s="187" t="s">
        <v>760</v>
      </c>
      <c r="C30" s="180">
        <f>SUM(C28:C29)</f>
        <v>84408322.729999989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1150000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24719444</v>
      </c>
      <c r="D35" s="182">
        <f t="shared" ref="D35:D40" si="1">ROUND((C35/$C$41)*100,1)</f>
        <v>43.1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11346788.609999992</v>
      </c>
      <c r="D36" s="182">
        <f t="shared" si="1"/>
        <v>19.8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11821405</v>
      </c>
      <c r="D37" s="182">
        <f t="shared" si="1"/>
        <v>20.6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5241888</v>
      </c>
      <c r="D38" s="182">
        <f t="shared" si="1"/>
        <v>9.1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3233971</v>
      </c>
      <c r="D39" s="182">
        <f t="shared" si="1"/>
        <v>5.6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1010000</v>
      </c>
      <c r="D40" s="182">
        <f t="shared" si="1"/>
        <v>1.8</v>
      </c>
    </row>
    <row r="41" spans="1:4" x14ac:dyDescent="0.2">
      <c r="B41" s="187" t="s">
        <v>768</v>
      </c>
      <c r="C41" s="180">
        <f>SUM(C35:C40)</f>
        <v>57373496.609999992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7F31-05E8-4F07-85FF-BA74A38A1C78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Keene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2010-10-07T17:59:51Z</cp:lastPrinted>
  <dcterms:created xsi:type="dcterms:W3CDTF">1997-12-04T19:04:30Z</dcterms:created>
  <dcterms:modified xsi:type="dcterms:W3CDTF">2025-01-02T14:53:57Z</dcterms:modified>
</cp:coreProperties>
</file>