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6F29CD6-8ED4-4CA8-BA0F-29D039B47F14}" xr6:coauthVersionLast="47" xr6:coauthVersionMax="47" xr10:uidLastSave="{00000000-0000-0000-0000-000000000000}"/>
  <workbookProtection workbookPassword="B70A" lockStructure="1"/>
  <bookViews>
    <workbookView xWindow="3930" yWindow="3930" windowWidth="21600" windowHeight="11505" tabRatio="855" xr2:uid="{49EEF55A-231F-4169-9C75-8AF2F329E44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7" i="1" l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E13" i="13" s="1"/>
  <c r="C13" i="13" s="1"/>
  <c r="L234" i="1"/>
  <c r="F16" i="13"/>
  <c r="G16" i="13"/>
  <c r="L201" i="1"/>
  <c r="L219" i="1"/>
  <c r="L237" i="1"/>
  <c r="E16" i="13"/>
  <c r="C16" i="13" s="1"/>
  <c r="F5" i="13"/>
  <c r="G5" i="13"/>
  <c r="L189" i="1"/>
  <c r="L190" i="1"/>
  <c r="L191" i="1"/>
  <c r="L192" i="1"/>
  <c r="L207" i="1"/>
  <c r="L208" i="1"/>
  <c r="L209" i="1"/>
  <c r="L210" i="1"/>
  <c r="D5" i="13" s="1"/>
  <c r="L225" i="1"/>
  <c r="L239" i="1" s="1"/>
  <c r="L226" i="1"/>
  <c r="C11" i="10" s="1"/>
  <c r="L227" i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L269" i="1"/>
  <c r="L282" i="1" s="1"/>
  <c r="L270" i="1"/>
  <c r="L271" i="1"/>
  <c r="L273" i="1"/>
  <c r="L274" i="1"/>
  <c r="L275" i="1"/>
  <c r="L276" i="1"/>
  <c r="L277" i="1"/>
  <c r="L278" i="1"/>
  <c r="L279" i="1"/>
  <c r="C21" i="10" s="1"/>
  <c r="L280" i="1"/>
  <c r="E117" i="2" s="1"/>
  <c r="L287" i="1"/>
  <c r="L288" i="1"/>
  <c r="L289" i="1"/>
  <c r="L290" i="1"/>
  <c r="L292" i="1"/>
  <c r="L293" i="1"/>
  <c r="L294" i="1"/>
  <c r="L295" i="1"/>
  <c r="L296" i="1"/>
  <c r="L301" i="1" s="1"/>
  <c r="L297" i="1"/>
  <c r="E115" i="2" s="1"/>
  <c r="L298" i="1"/>
  <c r="G652" i="1" s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C124" i="2" s="1"/>
  <c r="L333" i="1"/>
  <c r="L334" i="1"/>
  <c r="L343" i="1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93" i="1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1" i="2"/>
  <c r="G54" i="2" s="1"/>
  <c r="G53" i="2"/>
  <c r="F2" i="11"/>
  <c r="L603" i="1"/>
  <c r="L604" i="1" s="1"/>
  <c r="H653" i="1"/>
  <c r="I653" i="1" s="1"/>
  <c r="L602" i="1"/>
  <c r="G653" i="1"/>
  <c r="L601" i="1"/>
  <c r="F653" i="1"/>
  <c r="C40" i="10"/>
  <c r="F52" i="1"/>
  <c r="F104" i="1" s="1"/>
  <c r="G52" i="1"/>
  <c r="H52" i="1"/>
  <c r="I52" i="1"/>
  <c r="C35" i="10"/>
  <c r="F71" i="1"/>
  <c r="C49" i="2" s="1"/>
  <c r="F86" i="1"/>
  <c r="C50" i="2" s="1"/>
  <c r="F103" i="1"/>
  <c r="G103" i="1"/>
  <c r="G104" i="1"/>
  <c r="H71" i="1"/>
  <c r="H104" i="1" s="1"/>
  <c r="H185" i="1" s="1"/>
  <c r="G619" i="1" s="1"/>
  <c r="J619" i="1" s="1"/>
  <c r="H86" i="1"/>
  <c r="E50" i="2" s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G161" i="1"/>
  <c r="H139" i="1"/>
  <c r="H154" i="1"/>
  <c r="H161" i="1" s="1"/>
  <c r="I139" i="1"/>
  <c r="I154" i="1"/>
  <c r="I161" i="1"/>
  <c r="C12" i="10"/>
  <c r="C15" i="10"/>
  <c r="C18" i="10"/>
  <c r="C19" i="10"/>
  <c r="L242" i="1"/>
  <c r="L324" i="1"/>
  <c r="C23" i="10"/>
  <c r="L246" i="1"/>
  <c r="C116" i="2" s="1"/>
  <c r="L260" i="1"/>
  <c r="L261" i="1"/>
  <c r="C26" i="10" s="1"/>
  <c r="L341" i="1"/>
  <c r="E134" i="2" s="1"/>
  <c r="L342" i="1"/>
  <c r="E135" i="2" s="1"/>
  <c r="I655" i="1"/>
  <c r="I660" i="1"/>
  <c r="L221" i="1"/>
  <c r="H652" i="1"/>
  <c r="I659" i="1"/>
  <c r="C6" i="10"/>
  <c r="C5" i="10"/>
  <c r="C42" i="10"/>
  <c r="L366" i="1"/>
  <c r="L367" i="1"/>
  <c r="L368" i="1"/>
  <c r="L369" i="1"/>
  <c r="C29" i="10" s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/>
  <c r="L513" i="1"/>
  <c r="F541" i="1" s="1"/>
  <c r="L516" i="1"/>
  <c r="G539" i="1"/>
  <c r="L517" i="1"/>
  <c r="G540" i="1" s="1"/>
  <c r="L518" i="1"/>
  <c r="G541" i="1" s="1"/>
  <c r="L521" i="1"/>
  <c r="H539" i="1"/>
  <c r="L522" i="1"/>
  <c r="H540" i="1" s="1"/>
  <c r="H542" i="1" s="1"/>
  <c r="L523" i="1"/>
  <c r="H541" i="1"/>
  <c r="L526" i="1"/>
  <c r="I539" i="1" s="1"/>
  <c r="I542" i="1" s="1"/>
  <c r="L527" i="1"/>
  <c r="I540" i="1" s="1"/>
  <c r="L528" i="1"/>
  <c r="I541" i="1"/>
  <c r="L531" i="1"/>
  <c r="J539" i="1" s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I438" i="1" s="1"/>
  <c r="G632" i="1" s="1"/>
  <c r="J9" i="1"/>
  <c r="J19" i="1" s="1"/>
  <c r="G611" i="1" s="1"/>
  <c r="G9" i="2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F19" i="2" s="1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D22" i="2"/>
  <c r="E22" i="2"/>
  <c r="F22" i="2"/>
  <c r="I440" i="1"/>
  <c r="I444" i="1" s="1"/>
  <c r="I451" i="1" s="1"/>
  <c r="H632" i="1" s="1"/>
  <c r="J23" i="1"/>
  <c r="G22" i="2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 s="1"/>
  <c r="C25" i="2"/>
  <c r="D25" i="2"/>
  <c r="E25" i="2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E34" i="2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E42" i="2" s="1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E49" i="2"/>
  <c r="C51" i="2"/>
  <c r="D51" i="2"/>
  <c r="D54" i="2" s="1"/>
  <c r="D55" i="2" s="1"/>
  <c r="D96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E62" i="2"/>
  <c r="F62" i="2"/>
  <c r="G62" i="2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E73" i="2" s="1"/>
  <c r="C71" i="2"/>
  <c r="D71" i="2"/>
  <c r="E71" i="2"/>
  <c r="C72" i="2"/>
  <c r="E72" i="2"/>
  <c r="C77" i="2"/>
  <c r="E77" i="2"/>
  <c r="F77" i="2"/>
  <c r="F83" i="2" s="1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F95" i="2" s="1"/>
  <c r="C86" i="2"/>
  <c r="F86" i="2"/>
  <c r="D88" i="2"/>
  <c r="D95" i="2" s="1"/>
  <c r="E88" i="2"/>
  <c r="F88" i="2"/>
  <c r="G88" i="2"/>
  <c r="G95" i="2" s="1"/>
  <c r="C89" i="2"/>
  <c r="D89" i="2"/>
  <c r="E89" i="2"/>
  <c r="F89" i="2"/>
  <c r="G89" i="2"/>
  <c r="C90" i="2"/>
  <c r="D90" i="2"/>
  <c r="E90" i="2"/>
  <c r="E95" i="2" s="1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1" i="2"/>
  <c r="E102" i="2"/>
  <c r="C103" i="2"/>
  <c r="E103" i="2"/>
  <c r="C104" i="2"/>
  <c r="E104" i="2"/>
  <c r="C105" i="2"/>
  <c r="E105" i="2"/>
  <c r="E106" i="2"/>
  <c r="D107" i="2"/>
  <c r="E107" i="2"/>
  <c r="F107" i="2"/>
  <c r="G107" i="2"/>
  <c r="C110" i="2"/>
  <c r="E110" i="2"/>
  <c r="E111" i="2"/>
  <c r="C112" i="2"/>
  <c r="E112" i="2"/>
  <c r="C113" i="2"/>
  <c r="E113" i="2"/>
  <c r="C114" i="2"/>
  <c r="E114" i="2"/>
  <c r="C117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K490" i="1" s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 s="1"/>
  <c r="F19" i="1"/>
  <c r="G19" i="1"/>
  <c r="G608" i="1" s="1"/>
  <c r="J608" i="1" s="1"/>
  <c r="H19" i="1"/>
  <c r="I19" i="1"/>
  <c r="G610" i="1" s="1"/>
  <c r="J610" i="1" s="1"/>
  <c r="F33" i="1"/>
  <c r="G33" i="1"/>
  <c r="H33" i="1"/>
  <c r="H44" i="1" s="1"/>
  <c r="H609" i="1" s="1"/>
  <c r="I33" i="1"/>
  <c r="F43" i="1"/>
  <c r="G612" i="1" s="1"/>
  <c r="G43" i="1"/>
  <c r="G44" i="1" s="1"/>
  <c r="H608" i="1" s="1"/>
  <c r="H43" i="1"/>
  <c r="I43" i="1"/>
  <c r="I44" i="1" s="1"/>
  <c r="H610" i="1" s="1"/>
  <c r="F44" i="1"/>
  <c r="H607" i="1" s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 s="1"/>
  <c r="H249" i="1"/>
  <c r="H263" i="1" s="1"/>
  <c r="I249" i="1"/>
  <c r="I263" i="1" s="1"/>
  <c r="K249" i="1"/>
  <c r="K263" i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G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G426" i="1" s="1"/>
  <c r="H425" i="1"/>
  <c r="I425" i="1"/>
  <c r="J425" i="1"/>
  <c r="F426" i="1"/>
  <c r="I426" i="1"/>
  <c r="J426" i="1"/>
  <c r="F438" i="1"/>
  <c r="G438" i="1"/>
  <c r="G630" i="1" s="1"/>
  <c r="H438" i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I450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J614" i="1" s="1"/>
  <c r="I464" i="1"/>
  <c r="J464" i="1"/>
  <c r="J466" i="1" s="1"/>
  <c r="H616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K535" i="1" s="1"/>
  <c r="L514" i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J561" i="1" s="1"/>
  <c r="K550" i="1"/>
  <c r="K561" i="1" s="1"/>
  <c r="L550" i="1"/>
  <c r="L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9" i="1"/>
  <c r="J609" i="1" s="1"/>
  <c r="G613" i="1"/>
  <c r="G614" i="1"/>
  <c r="G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29" i="1"/>
  <c r="G631" i="1"/>
  <c r="J631" i="1" s="1"/>
  <c r="G633" i="1"/>
  <c r="J633" i="1" s="1"/>
  <c r="G634" i="1"/>
  <c r="G635" i="1"/>
  <c r="J635" i="1" s="1"/>
  <c r="H635" i="1"/>
  <c r="H637" i="1"/>
  <c r="G639" i="1"/>
  <c r="G640" i="1"/>
  <c r="H640" i="1"/>
  <c r="J640" i="1"/>
  <c r="G641" i="1"/>
  <c r="J641" i="1" s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639" i="1" l="1"/>
  <c r="G153" i="2"/>
  <c r="G185" i="1"/>
  <c r="G618" i="1" s="1"/>
  <c r="J618" i="1" s="1"/>
  <c r="C38" i="10"/>
  <c r="L330" i="1"/>
  <c r="L344" i="1" s="1"/>
  <c r="G623" i="1" s="1"/>
  <c r="J623" i="1" s="1"/>
  <c r="D31" i="13"/>
  <c r="C31" i="13" s="1"/>
  <c r="J630" i="1"/>
  <c r="G137" i="2"/>
  <c r="E43" i="2"/>
  <c r="G32" i="2"/>
  <c r="K539" i="1"/>
  <c r="F137" i="2"/>
  <c r="G24" i="2"/>
  <c r="J33" i="1"/>
  <c r="G650" i="1"/>
  <c r="C39" i="10"/>
  <c r="F33" i="13"/>
  <c r="J612" i="1"/>
  <c r="K541" i="1"/>
  <c r="H638" i="1"/>
  <c r="J638" i="1" s="1"/>
  <c r="J263" i="1"/>
  <c r="G19" i="2"/>
  <c r="K540" i="1"/>
  <c r="C54" i="2"/>
  <c r="C55" i="2" s="1"/>
  <c r="C96" i="2" s="1"/>
  <c r="H650" i="1"/>
  <c r="G636" i="1"/>
  <c r="G621" i="1"/>
  <c r="J621" i="1" s="1"/>
  <c r="C36" i="10"/>
  <c r="C41" i="10" s="1"/>
  <c r="C5" i="13"/>
  <c r="E33" i="13"/>
  <c r="D35" i="13" s="1"/>
  <c r="C8" i="13"/>
  <c r="J632" i="1"/>
  <c r="F542" i="1"/>
  <c r="E136" i="2"/>
  <c r="J629" i="1"/>
  <c r="I185" i="1"/>
  <c r="G620" i="1" s="1"/>
  <c r="J620" i="1" s="1"/>
  <c r="J615" i="1"/>
  <c r="E54" i="2"/>
  <c r="E55" i="2" s="1"/>
  <c r="E96" i="2" s="1"/>
  <c r="G55" i="2"/>
  <c r="G96" i="2" s="1"/>
  <c r="F55" i="2"/>
  <c r="F96" i="2" s="1"/>
  <c r="G42" i="2"/>
  <c r="D43" i="2"/>
  <c r="F185" i="1"/>
  <c r="G617" i="1" s="1"/>
  <c r="J617" i="1" s="1"/>
  <c r="C131" i="2"/>
  <c r="L400" i="1"/>
  <c r="J613" i="1"/>
  <c r="C43" i="2"/>
  <c r="C133" i="2"/>
  <c r="H33" i="13"/>
  <c r="C25" i="13"/>
  <c r="L519" i="1"/>
  <c r="L535" i="1" s="1"/>
  <c r="C101" i="2"/>
  <c r="C107" i="2" s="1"/>
  <c r="L203" i="1"/>
  <c r="C17" i="10"/>
  <c r="F652" i="1"/>
  <c r="I652" i="1" s="1"/>
  <c r="C16" i="10"/>
  <c r="C102" i="2"/>
  <c r="J607" i="1"/>
  <c r="C106" i="2"/>
  <c r="C25" i="10"/>
  <c r="C156" i="2"/>
  <c r="G156" i="2" s="1"/>
  <c r="D119" i="2"/>
  <c r="D120" i="2" s="1"/>
  <c r="D137" i="2" s="1"/>
  <c r="H651" i="1"/>
  <c r="C24" i="10"/>
  <c r="C13" i="10"/>
  <c r="C32" i="10"/>
  <c r="G651" i="1"/>
  <c r="J43" i="1"/>
  <c r="C111" i="2"/>
  <c r="C120" i="2" s="1"/>
  <c r="F651" i="1"/>
  <c r="L354" i="1"/>
  <c r="E116" i="2"/>
  <c r="E120" i="2" s="1"/>
  <c r="E137" i="2" s="1"/>
  <c r="G542" i="1"/>
  <c r="C10" i="10"/>
  <c r="L374" i="1"/>
  <c r="G626" i="1" s="1"/>
  <c r="J626" i="1" s="1"/>
  <c r="F122" i="2"/>
  <c r="F136" i="2" s="1"/>
  <c r="C123" i="2"/>
  <c r="D14" i="13"/>
  <c r="C14" i="13" s="1"/>
  <c r="C115" i="2"/>
  <c r="D37" i="10" l="1"/>
  <c r="D40" i="10"/>
  <c r="D35" i="10"/>
  <c r="J636" i="1"/>
  <c r="G627" i="1"/>
  <c r="J627" i="1" s="1"/>
  <c r="H636" i="1"/>
  <c r="C136" i="2"/>
  <c r="C137" i="2" s="1"/>
  <c r="H654" i="1"/>
  <c r="L249" i="1"/>
  <c r="L263" i="1" s="1"/>
  <c r="G622" i="1" s="1"/>
  <c r="J622" i="1" s="1"/>
  <c r="F650" i="1"/>
  <c r="C28" i="10"/>
  <c r="D10" i="10" s="1"/>
  <c r="G43" i="2"/>
  <c r="D39" i="10"/>
  <c r="G654" i="1"/>
  <c r="D38" i="10"/>
  <c r="C27" i="10"/>
  <c r="G625" i="1"/>
  <c r="J625" i="1" s="1"/>
  <c r="D33" i="13"/>
  <c r="D36" i="13" s="1"/>
  <c r="I651" i="1"/>
  <c r="D36" i="10"/>
  <c r="G616" i="1"/>
  <c r="J44" i="1"/>
  <c r="H611" i="1" s="1"/>
  <c r="J611" i="1" s="1"/>
  <c r="K542" i="1"/>
  <c r="D25" i="10" l="1"/>
  <c r="H662" i="1"/>
  <c r="H657" i="1"/>
  <c r="J616" i="1"/>
  <c r="H646" i="1"/>
  <c r="D24" i="10"/>
  <c r="D27" i="10"/>
  <c r="D17" i="10"/>
  <c r="D13" i="10"/>
  <c r="G657" i="1"/>
  <c r="G662" i="1"/>
  <c r="D16" i="10"/>
  <c r="D15" i="10"/>
  <c r="C30" i="10"/>
  <c r="D22" i="10"/>
  <c r="D18" i="10"/>
  <c r="D11" i="10"/>
  <c r="D28" i="10" s="1"/>
  <c r="D20" i="10"/>
  <c r="D23" i="10"/>
  <c r="D19" i="10"/>
  <c r="D12" i="10"/>
  <c r="D21" i="10"/>
  <c r="D26" i="10"/>
  <c r="D41" i="10"/>
  <c r="I650" i="1"/>
  <c r="I654" i="1" s="1"/>
  <c r="F654" i="1"/>
  <c r="F662" i="1" l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3BB8F6C-86FF-44C0-9AA7-47CE7862D7C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9B5430B-668F-4B11-B5EA-79D4791EB7A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EC255ED-39BF-4273-ACF5-3016E686359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394C7A8-1D26-4079-B87E-8989CD82911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5AFB4EC-C1AA-41E9-A26B-BDDC4544324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79A22FF-0BD7-41E0-A9FF-83F9D372770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B92C8E1-F7F6-4AB0-9642-89BDCE229966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FB19FCF-4E6B-4162-9B0D-A9AB403E43C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F7C9128-8723-40B9-A091-9F014032F0B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8F42072-9CA3-470B-8C19-8D731F8F6D9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9F02A28-045A-45E6-BE2D-1C0D973E84F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AB5D635-650F-496C-8628-EE4017F6DAC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<sst xmlns="http://schemas.openxmlformats.org/spreadsheetml/2006/main" count="3868" uniqueCount="897">
  <si>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</si>
  <si>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</si>
  <si>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</si>
  <si>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</si>
  <si>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</si>
  <si>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</si>
  <si>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</si>
  <si>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</si>
  <si>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</si>
  <si>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</si>
  <si>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</si>
  <si>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</si>
  <si>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</si>
  <si>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</si>
  <si>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</si>
  <si>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</si>
  <si>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</si>
  <si>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</si>
  <si>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</si>
  <si>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</si>
  <si>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</si>
  <si>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</si>
  <si>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</si>
  <si>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</si>
  <si>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</si>
  <si>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</si>
  <si>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</si>
  <si>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</si>
  <si>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</si>
  <si>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</si>
  <si>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</si>
  <si>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</si>
  <si>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</si>
  <si>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</si>
  <si>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</si>
  <si>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</si>
  <si>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</si>
  <si>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</si>
  <si>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</si>
  <si>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</si>
  <si>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</si>
  <si>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</si>
  <si>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</si>
  <si>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</si>
  <si>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</si>
  <si>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</si>
  <si>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</si>
  <si>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</si>
  <si>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</si>
  <si>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</si>
  <si>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</si>
  <si>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</si>
  <si>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</si>
  <si>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</si>
  <si>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</si>
  <si>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</si>
  <si>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</si>
  <si>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</si>
  <si>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</si>
  <si>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</si>
  <si>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</si>
  <si>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</si>
  <si>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</si>
  <si>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</si>
  <si>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</si>
  <si>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</si>
  <si>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</si>
  <si>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</si>
  <si>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</si>
  <si>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</si>
  <si>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</si>
  <si>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</si>
  <si>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</si>
  <si>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</si>
  <si>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</si>
  <si>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</si>
  <si>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</si>
  <si>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</si>
  <si>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</si>
  <si>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</si>
  <si>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</si>
  <si>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</si>
  <si>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</si>
  <si>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</si>
  <si>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</si>
  <si>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</si>
  <si>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</si>
  <si>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</si>
  <si>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</si>
  <si>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</si>
  <si>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</si>
  <si>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</si>
  <si>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</si>
  <si>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</si>
  <si>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</si>
  <si>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</si>
  <si>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</si>
  <si>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</si>
  <si>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</si>
  <si>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</si>
  <si>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</si>
  <si>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</si>
  <si>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</si>
  <si>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</si>
  <si>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</si>
  <si>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</si>
  <si>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</si>
  <si>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</si>
  <si>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</si>
  <si>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</si>
  <si>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</si>
  <si>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</si>
  <si>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</si>
  <si>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</si>
  <si>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</si>
  <si>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</si>
  <si>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</si>
  <si>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</si>
  <si>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</si>
  <si>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</si>
  <si>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</si>
  <si>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</si>
  <si>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</si>
  <si>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</si>
  <si>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</si>
  <si>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</si>
  <si>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</si>
  <si>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</si>
  <si>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</si>
  <si>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</si>
  <si>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</si>
  <si>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</si>
  <si>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</si>
  <si>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</si>
  <si>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</si>
  <si>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</si>
  <si>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</si>
  <si>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</si>
  <si>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</si>
  <si>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</si>
  <si>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</si>
  <si>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</si>
  <si>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</si>
  <si>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</si>
  <si>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</si>
  <si>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</si>
  <si>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</si>
  <si>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</si>
  <si>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</si>
  <si>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</si>
  <si>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</si>
  <si>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</si>
  <si>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</si>
  <si>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</si>
  <si>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</si>
  <si>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</si>
  <si>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</si>
  <si>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</si>
  <si>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</si>
  <si>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</si>
  <si>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</si>
  <si>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</si>
  <si>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</si>
  <si>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</si>
  <si>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</si>
  <si>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</si>
  <si>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</si>
  <si>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</si>
  <si>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</si>
  <si>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</si>
  <si>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</si>
  <si>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</si>
  <si>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</si>
  <si>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</si>
  <si>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</si>
  <si>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</si>
  <si>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</si>
  <si>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</si>
  <si>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</si>
  <si>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</si>
  <si>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</si>
  <si>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</si>
  <si>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</si>
  <si>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</si>
  <si>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</si>
  <si>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</si>
  <si>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</si>
  <si>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</si>
  <si>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</si>
  <si>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</si>
  <si>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</si>
  <si>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</si>
  <si>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</si>
  <si>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</si>
  <si>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</si>
  <si>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</si>
  <si>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</si>
  <si>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</si>
  <si>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</si>
  <si>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</si>
  <si>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</si>
  <si>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</si>
  <si>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</si>
  <si>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</si>
  <si>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</si>
  <si>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</si>
  <si>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</si>
  <si>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</si>
  <si>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</si>
  <si>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</si>
  <si>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</si>
  <si>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</si>
  <si>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</si>
  <si>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</si>
  <si>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</si>
  <si>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</si>
  <si>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</si>
  <si>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</si>
  <si>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</si>
  <si>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</si>
  <si>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</si>
  <si>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</si>
  <si>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</si>
  <si>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</si>
  <si>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</si>
  <si>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</si>
  <si>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</si>
  <si>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</si>
  <si>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</si>
  <si>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</si>
  <si>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</si>
  <si>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</si>
  <si>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</si>
  <si>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</si>
  <si>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</si>
  <si>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</si>
  <si>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</si>
  <si>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</si>
  <si>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</si>
  <si>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</si>
  <si>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</si>
  <si>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</si>
  <si>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</si>
  <si>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</si>
  <si>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</si>
  <si>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</si>
  <si>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</si>
  <si>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</si>
  <si>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</si>
  <si>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</si>
  <si>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</si>
  <si>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</si>
  <si>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</si>
  <si>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</si>
  <si>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</si>
  <si>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</si>
  <si>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</si>
  <si>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</si>
  <si>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</si>
  <si>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</si>
  <si>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</si>
  <si>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</si>
  <si>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</si>
  <si>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</si>
  <si>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</si>
  <si>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</si>
  <si>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</si>
  <si>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</si>
  <si>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</si>
  <si>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</si>
  <si>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</si>
  <si>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</si>
  <si>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</si>
  <si>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</si>
  <si>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</si>
  <si>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</si>
  <si>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</si>
  <si>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</si>
  <si>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</si>
  <si>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</si>
  <si>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</si>
  <si>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</si>
  <si>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</si>
  <si>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</si>
  <si>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</si>
  <si>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</si>
  <si>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</si>
  <si>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</si>
  <si>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</si>
  <si>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</si>
  <si>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</si>
  <si>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</si>
  <si>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</si>
  <si>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</si>
  <si>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</si>
  <si>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</si>
  <si>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</si>
  <si>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</si>
  <si>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</si>
  <si>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</si>
  <si>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</si>
  <si>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</si>
  <si>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</si>
  <si>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</si>
  <si>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</si>
  <si>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</si>
  <si>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</si>
  <si>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</si>
  <si>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</si>
  <si>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</si>
  <si>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</si>
  <si>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</si>
  <si>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</si>
  <si>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</si>
  <si>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</si>
  <si>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</si>
  <si>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</si>
  <si>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</si>
  <si>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</si>
  <si>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</si>
  <si>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</si>
  <si>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</si>
  <si>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</si>
  <si>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</si>
  <si>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</si>
  <si>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</si>
  <si>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</si>
  <si>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</si>
  <si>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</si>
  <si>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</si>
  <si>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</si>
  <si>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</si>
  <si>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</si>
  <si>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</si>
  <si>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</si>
  <si>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</si>
  <si>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</si>
  <si>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</si>
  <si>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</si>
  <si>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</si>
  <si>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</si>
  <si>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</si>
  <si>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</si>
  <si>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</si>
  <si>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</si>
  <si>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</si>
  <si>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</si>
  <si>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</si>
  <si>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</si>
  <si>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</si>
  <si>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</si>
  <si>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</si>
  <si>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</si>
  <si>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</si>
  <si>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</si>
  <si>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</si>
  <si>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</si>
  <si>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</si>
  <si>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</si>
  <si>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</si>
  <si>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</si>
  <si>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</si>
  <si>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</si>
  <si>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</si>
  <si>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</si>
  <si>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</si>
  <si>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</si>
  <si>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</si>
  <si>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</si>
  <si>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</si>
  <si>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</si>
  <si>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</si>
  <si>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</si>
  <si>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</si>
  <si>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</si>
  <si>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</si>
  <si>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</si>
  <si>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</si>
  <si>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</si>
  <si>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</si>
  <si>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</si>
  <si>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</si>
  <si>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</si>
  <si>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</si>
  <si>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</si>
  <si>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</si>
  <si>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</si>
  <si>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</si>
  <si>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</si>
  <si>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</si>
  <si>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</si>
  <si>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</si>
  <si>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</si>
  <si>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</si>
  <si>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</si>
  <si>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</si>
  <si>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</si>
  <si>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</si>
  <si>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</si>
  <si>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</si>
  <si>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</si>
  <si>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</si>
  <si>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</si>
  <si>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</si>
  <si>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</si>
  <si>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</si>
  <si>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</si>
  <si>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</si>
  <si>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</si>
  <si>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</si>
  <si>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</si>
  <si>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</si>
  <si>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</si>
  <si>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</si>
  <si>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</si>
  <si>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</si>
  <si>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</si>
  <si>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</si>
  <si>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</si>
  <si>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</si>
  <si>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</si>
  <si>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</si>
  <si>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</si>
  <si>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</si>
  <si>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</si>
  <si>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</si>
  <si>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</si>
  <si>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</si>
  <si>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</si>
  <si>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</si>
  <si>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</si>
  <si>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</si>
  <si>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</si>
  <si>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</si>
  <si>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</si>
  <si>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</si>
  <si>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</si>
  <si>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</si>
  <si>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</si>
  <si>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</si>
  <si>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</si>
  <si>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</si>
  <si>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</si>
  <si>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</si>
  <si>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</si>
  <si>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</si>
  <si>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</si>
  <si>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</si>
  <si>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</si>
  <si>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</si>
  <si>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</si>
  <si>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</si>
  <si>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</si>
  <si>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</si>
  <si>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</si>
  <si>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</si>
  <si>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</si>
  <si>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</si>
  <si>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</si>
  <si>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</si>
  <si>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</si>
  <si>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</si>
  <si>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</si>
  <si>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</si>
  <si>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</si>
  <si>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</si>
  <si>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</si>
  <si>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</si>
  <si>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</si>
  <si>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</si>
  <si>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</si>
  <si>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</si>
  <si>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</si>
  <si>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</si>
  <si>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</si>
  <si>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</si>
  <si>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</si>
  <si>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</si>
  <si>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</si>
  <si>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</si>
  <si>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</si>
  <si>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</si>
  <si>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</si>
  <si>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</si>
  <si>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</si>
  <si>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</si>
  <si>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</si>
  <si>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</si>
  <si>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</si>
  <si>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</si>
  <si>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</si>
  <si>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</si>
  <si>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</si>
  <si>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</si>
  <si>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</si>
  <si>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</si>
  <si>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</si>
  <si>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</si>
  <si>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</si>
  <si>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</si>
  <si>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</si>
  <si>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</si>
  <si>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</si>
  <si>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</si>
  <si>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</si>
  <si>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</si>
  <si>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</si>
  <si>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</si>
  <si>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</si>
  <si>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</si>
  <si>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</si>
  <si>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</si>
  <si>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</si>
  <si>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</si>
  <si>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</si>
  <si>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</si>
  <si>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</si>
  <si>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</si>
  <si>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</si>
  <si>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</si>
  <si>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</si>
  <si>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</si>
  <si>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</si>
  <si>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</si>
  <si>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</si>
  <si>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</si>
  <si>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</si>
  <si>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</si>
  <si>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</si>
  <si>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</si>
  <si>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</si>
  <si>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</si>
  <si>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</si>
  <si>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</si>
  <si>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</si>
  <si>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</si>
  <si>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</si>
  <si>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</si>
  <si>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</si>
  <si>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</si>
  <si>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</si>
  <si>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</si>
  <si>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</si>
  <si>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</si>
  <si>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</si>
  <si>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</si>
  <si>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</si>
  <si>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</si>
  <si>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</si>
  <si>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</si>
  <si>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</si>
  <si>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</si>
  <si>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</si>
  <si>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</si>
  <si>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</si>
  <si>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</si>
  <si>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</si>
  <si>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</si>
  <si>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</si>
  <si>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</si>
  <si>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</si>
  <si>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</si>
  <si>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</si>
  <si>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</si>
  <si>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</si>
  <si>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</si>
  <si>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</si>
  <si>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</si>
  <si>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</si>
  <si>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</si>
  <si>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</si>
  <si>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</si>
  <si>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</si>
  <si>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</si>
  <si>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</si>
  <si>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</si>
  <si>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</si>
  <si>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</si>
  <si>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</si>
  <si>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</si>
  <si>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</si>
  <si>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</si>
  <si>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</si>
  <si>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</si>
  <si>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</si>
  <si>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</si>
  <si>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</si>
  <si>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</si>
  <si>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</si>
  <si>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</si>
  <si>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</si>
  <si>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</si>
  <si>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</si>
  <si>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</si>
  <si>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</si>
  <si>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</si>
  <si>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</si>
  <si>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</si>
  <si>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</si>
  <si>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</si>
  <si>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</si>
  <si>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</si>
  <si>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</si>
  <si>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</si>
  <si>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</si>
  <si>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</si>
  <si>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</si>
  <si>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</si>
  <si>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</si>
  <si>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</si>
  <si>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</si>
  <si>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</si>
  <si>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</si>
  <si>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</si>
  <si>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</si>
  <si>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</si>
  <si>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</si>
  <si>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</si>
  <si>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</si>
  <si>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</si>
  <si>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</si>
  <si>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</si>
  <si>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</si>
  <si>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</si>
  <si>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</si>
  <si>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</si>
  <si>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</si>
  <si>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</si>
  <si>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</si>
  <si>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</si>
  <si>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</si>
  <si>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</si>
  <si>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</si>
  <si>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</si>
  <si>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</si>
  <si>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</si>
  <si>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</si>
  <si>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</si>
  <si>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</si>
  <si>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</si>
  <si>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</si>
  <si>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</si>
  <si>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</si>
  <si>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</si>
  <si>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</si>
  <si>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</si>
  <si>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</si>
  <si>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</si>
  <si>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</si>
  <si>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</si>
  <si>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</si>
  <si>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</si>
  <si>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</si>
  <si>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</si>
  <si>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</si>
  <si>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</si>
  <si>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</si>
  <si>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</si>
  <si>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</si>
  <si>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</si>
  <si>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</si>
  <si>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</si>
  <si>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</si>
  <si>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</si>
  <si>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</si>
  <si>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</si>
  <si>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</si>
  <si>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</si>
  <si>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</si>
  <si>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</si>
  <si>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</si>
  <si>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</si>
  <si>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</si>
  <si>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</si>
  <si>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</si>
  <si>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</si>
  <si>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</si>
  <si>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</si>
  <si>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</si>
  <si>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</si>
  <si>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</si>
  <si>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</si>
  <si>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</si>
  <si>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</si>
  <si>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</si>
  <si>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</si>
  <si>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</si>
  <si>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</si>
  <si>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</si>
  <si>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</si>
  <si>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</si>
  <si>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</si>
  <si>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</si>
  <si>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</si>
  <si>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</si>
  <si>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</si>
  <si>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</si>
  <si>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</si>
  <si>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</si>
  <si>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</si>
  <si>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</si>
  <si>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</si>
  <si>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</si>
  <si>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</si>
  <si>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</si>
  <si>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</si>
  <si>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</si>
  <si>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</si>
  <si>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</si>
  <si>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</si>
  <si>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</si>
  <si>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</si>
  <si>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</si>
  <si>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</si>
  <si>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</si>
  <si>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</si>
  <si>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</si>
  <si>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</si>
  <si>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</si>
  <si>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</si>
  <si>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</si>
  <si>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</si>
  <si>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</si>
  <si>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</si>
  <si>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</si>
  <si>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</si>
  <si>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</si>
  <si>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</si>
  <si>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</si>
  <si>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</si>
  <si>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</si>
  <si>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</si>
  <si>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</si>
  <si>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</si>
  <si>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</si>
  <si>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</si>
  <si>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</si>
  <si>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</si>
  <si>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</si>
  <si>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</si>
  <si>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</si>
  <si>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</si>
  <si>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</si>
  <si>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</si>
  <si>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</si>
  <si>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</si>
  <si>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</si>
  <si>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</si>
  <si>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</si>
  <si>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</si>
  <si>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</si>
  <si>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</si>
  <si>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</si>
  <si>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</si>
  <si>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</si>
  <si>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</si>
  <si>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</si>
  <si>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</si>
  <si>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</si>
  <si>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</si>
  <si>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</si>
  <si>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</si>
  <si>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</si>
  <si>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</si>
  <si>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</si>
  <si>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</si>
  <si>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</si>
  <si>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</si>
  <si>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</si>
  <si>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</si>
  <si>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</si>
  <si>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</si>
  <si>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</si>
  <si>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</si>
  <si>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</si>
  <si>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</si>
  <si>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</si>
  <si>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</si>
  <si>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</si>
  <si>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</si>
  <si>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</si>
  <si>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</si>
  <si>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</si>
  <si>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</si>
  <si>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</si>
  <si>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</si>
  <si>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</si>
  <si>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</si>
  <si>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</si>
  <si>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</si>
  <si>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</si>
  <si>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</si>
  <si>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</si>
  <si>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</si>
  <si>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</si>
  <si>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</si>
  <si>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</si>
  <si>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</si>
  <si>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</si>
  <si>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</si>
  <si>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</si>
  <si>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</si>
  <si>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</si>
  <si>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</si>
  <si>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</si>
  <si>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</si>
  <si>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</si>
  <si>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</si>
  <si>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</si>
  <si>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</si>
  <si>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</si>
  <si>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</si>
  <si>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</si>
  <si>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</si>
  <si>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</si>
  <si>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</si>
  <si>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</si>
  <si>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</si>
  <si>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</si>
  <si>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</si>
  <si>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</si>
  <si>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</si>
  <si>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</si>
  <si>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</si>
  <si>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</si>
  <si>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</si>
  <si>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</si>
  <si>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</si>
  <si>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</si>
  <si>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</si>
  <si>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</si>
  <si>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</si>
  <si>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</si>
  <si>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</si>
  <si>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</si>
  <si>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</si>
  <si>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</si>
  <si>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</si>
  <si>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</si>
  <si>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</si>
  <si>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</si>
  <si>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</si>
  <si>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</si>
  <si>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</si>
  <si>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</si>
  <si>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</si>
  <si>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</si>
  <si>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</si>
  <si>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</si>
  <si>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</si>
  <si>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</si>
  <si>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</si>
  <si>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</si>
  <si>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</si>
  <si>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</si>
  <si>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</si>
  <si>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</si>
  <si>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</si>
  <si>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</si>
  <si>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</si>
  <si>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</si>
  <si>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</si>
  <si>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</si>
  <si>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</si>
  <si>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</si>
  <si>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</si>
  <si>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</si>
  <si>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</si>
  <si>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</si>
  <si>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</si>
  <si>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</si>
  <si>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</si>
  <si>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</si>
  <si>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</si>
  <si>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</si>
  <si>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</si>
  <si>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</si>
  <si>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</si>
  <si>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</si>
  <si>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</si>
  <si>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</si>
  <si>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</si>
  <si>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</si>
  <si>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</si>
  <si>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</si>
  <si>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</si>
  <si>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</si>
  <si>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</si>
  <si>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</si>
  <si>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</si>
  <si>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</si>
  <si>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</si>
  <si>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</si>
  <si>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</si>
  <si>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8/2003</t>
  </si>
  <si>
    <t>8/2012</t>
  </si>
  <si>
    <t>KENSINGTON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</si>
</sst>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908A-05AB-4032-A248-00964E8B51E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281</v>
      </c>
      <c r="C2" s="21">
        <v>281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274314.03999999998</v>
      </c>
      <c r="G9" s="18"/>
      <c r="H9" s="18"/>
      <c r="I9" s="18"/>
      <c r="J9" s="67">
        <f>SUM(I431)</f>
        <v>20275.41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2200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2155.21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 t="s">
        <v>310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 t="s">
        <v>310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276514.03999999998</v>
      </c>
      <c r="G19" s="41">
        <f>SUM(G9:G18)</f>
        <v>2155.21</v>
      </c>
      <c r="H19" s="41">
        <f>SUM(H9:H18)</f>
        <v>0</v>
      </c>
      <c r="I19" s="41">
        <f>SUM(I9:I18)</f>
        <v>0</v>
      </c>
      <c r="J19" s="41">
        <f>SUM(J9:J18)</f>
        <v>20275.41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21809.95</v>
      </c>
      <c r="G23" s="18">
        <v>-15602</v>
      </c>
      <c r="H23" s="18">
        <v>-6207.95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>
        <v>740.91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106551.27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75689.279999999999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 t="s">
        <v>310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4324.3999999999996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589.75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208964.65</v>
      </c>
      <c r="G33" s="41">
        <f>SUM(G23:G32)</f>
        <v>-14861.09</v>
      </c>
      <c r="H33" s="41">
        <f>SUM(H23:H32)</f>
        <v>-6207.95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17016.3</v>
      </c>
      <c r="H41" s="18">
        <v>6207.95</v>
      </c>
      <c r="I41" s="18"/>
      <c r="J41" s="13">
        <f>SUM(I449)</f>
        <v>20275.41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67549.39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67549.39</v>
      </c>
      <c r="G43" s="41">
        <f>SUM(G35:G42)</f>
        <v>17016.3</v>
      </c>
      <c r="H43" s="41">
        <f>SUM(H35:H42)</f>
        <v>6207.95</v>
      </c>
      <c r="I43" s="41">
        <f>SUM(I35:I42)</f>
        <v>0</v>
      </c>
      <c r="J43" s="41">
        <f>SUM(J35:J42)</f>
        <v>20275.41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276514.03999999998</v>
      </c>
      <c r="G44" s="41">
        <f>G43+G33</f>
        <v>2155.2099999999991</v>
      </c>
      <c r="H44" s="41">
        <f>H43+H33</f>
        <v>0</v>
      </c>
      <c r="I44" s="41">
        <f>I43+I33</f>
        <v>0</v>
      </c>
      <c r="J44" s="41">
        <f>J43+J33</f>
        <v>20275.41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2029375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2029375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 t="s">
        <v>310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379.47</v>
      </c>
      <c r="G88" s="18"/>
      <c r="H88" s="18"/>
      <c r="I88" s="18"/>
      <c r="J88" s="18">
        <v>50.08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47539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3196.82</v>
      </c>
      <c r="I94" s="18"/>
      <c r="J94" s="18">
        <v>3003.75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379.47</v>
      </c>
      <c r="G103" s="41">
        <f>SUM(G88:G102)</f>
        <v>47539</v>
      </c>
      <c r="H103" s="41">
        <f>SUM(H88:H102)</f>
        <v>3196.82</v>
      </c>
      <c r="I103" s="41">
        <f>SUM(I88:I102)</f>
        <v>0</v>
      </c>
      <c r="J103" s="41">
        <f>SUM(J88:J102)</f>
        <v>3053.83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2029754.47</v>
      </c>
      <c r="G104" s="41">
        <f>G52+G103</f>
        <v>47539</v>
      </c>
      <c r="H104" s="41">
        <f>H52+H71+H86+H103</f>
        <v>3196.82</v>
      </c>
      <c r="I104" s="41">
        <f>I52+I103</f>
        <v>0</v>
      </c>
      <c r="J104" s="41">
        <f>J52+J103</f>
        <v>3053.83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157824.78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360356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60553.22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578734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61264.28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597.55999999999995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61264.28</v>
      </c>
      <c r="G128" s="41">
        <f>SUM(G115:G127)</f>
        <v>597.55999999999995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639998.28</v>
      </c>
      <c r="G132" s="41">
        <f>G113+SUM(G128:G129)</f>
        <v>597.55999999999995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6987.43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6481.43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6481.43</v>
      </c>
      <c r="G154" s="41">
        <f>SUM(G142:G153)</f>
        <v>6987.43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6481.43</v>
      </c>
      <c r="G161" s="41">
        <f>G139+G154+SUM(G155:G160)</f>
        <v>6987.43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2676234.1800000002</v>
      </c>
      <c r="G185" s="47">
        <f>G104+G132+G161+G184</f>
        <v>55123.99</v>
      </c>
      <c r="H185" s="47">
        <f>H104+H132+H161+H184</f>
        <v>3196.82</v>
      </c>
      <c r="I185" s="47">
        <f>I104+I132+I161+I184</f>
        <v>0</v>
      </c>
      <c r="J185" s="47">
        <f>J104+J132+J184</f>
        <v>3053.83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899287.44</v>
      </c>
      <c r="G189" s="18">
        <v>324817.24</v>
      </c>
      <c r="H189" s="18">
        <v>9322.3700000000008</v>
      </c>
      <c r="I189" s="18">
        <v>42429.120000000003</v>
      </c>
      <c r="J189" s="18">
        <v>779.08</v>
      </c>
      <c r="K189" s="18"/>
      <c r="L189" s="19">
        <f>SUM(F189:K189)</f>
        <v>1276635.2500000002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225839.53</v>
      </c>
      <c r="G190" s="18">
        <v>107370.6</v>
      </c>
      <c r="H190" s="18">
        <v>13677.76</v>
      </c>
      <c r="I190" s="18">
        <v>6672.58</v>
      </c>
      <c r="J190" s="18">
        <v>1913.48</v>
      </c>
      <c r="K190" s="18"/>
      <c r="L190" s="19">
        <f>SUM(F190:K190)</f>
        <v>355473.95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1832</v>
      </c>
      <c r="G192" s="18"/>
      <c r="H192" s="18"/>
      <c r="I192" s="18"/>
      <c r="J192" s="18"/>
      <c r="K192" s="18">
        <v>8089.8</v>
      </c>
      <c r="L192" s="19">
        <f>SUM(F192:K192)</f>
        <v>9921.7999999999993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143567.1</v>
      </c>
      <c r="G194" s="18">
        <v>21228.45</v>
      </c>
      <c r="H194" s="18">
        <v>16547.5</v>
      </c>
      <c r="I194" s="18">
        <v>243.73</v>
      </c>
      <c r="J194" s="18">
        <v>107.28</v>
      </c>
      <c r="K194" s="18"/>
      <c r="L194" s="19">
        <f t="shared" ref="L194:L200" si="0">SUM(F194:K194)</f>
        <v>181694.06000000003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75144.81</v>
      </c>
      <c r="G195" s="18">
        <v>22146.959999999999</v>
      </c>
      <c r="H195" s="18">
        <v>25914.84</v>
      </c>
      <c r="I195" s="18">
        <v>5472.56</v>
      </c>
      <c r="J195" s="18">
        <v>14330.87</v>
      </c>
      <c r="K195" s="18"/>
      <c r="L195" s="19">
        <f t="shared" si="0"/>
        <v>143010.03999999998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3080</v>
      </c>
      <c r="G196" s="18">
        <v>1232.3699999999999</v>
      </c>
      <c r="H196" s="18">
        <v>73796.12</v>
      </c>
      <c r="I196" s="18"/>
      <c r="J196" s="18"/>
      <c r="K196" s="18"/>
      <c r="L196" s="19">
        <f t="shared" si="0"/>
        <v>78108.489999999991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129044.44</v>
      </c>
      <c r="G197" s="18">
        <v>37115.089999999997</v>
      </c>
      <c r="H197" s="18">
        <v>8045.38</v>
      </c>
      <c r="I197" s="18">
        <v>1910.11</v>
      </c>
      <c r="J197" s="18"/>
      <c r="K197" s="18">
        <v>793</v>
      </c>
      <c r="L197" s="19">
        <f t="shared" si="0"/>
        <v>176908.02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80362.84</v>
      </c>
      <c r="G199" s="18">
        <v>20260.91</v>
      </c>
      <c r="H199" s="18">
        <v>24232.05</v>
      </c>
      <c r="I199" s="18">
        <v>54724.2</v>
      </c>
      <c r="J199" s="18"/>
      <c r="K199" s="18"/>
      <c r="L199" s="19">
        <f t="shared" si="0"/>
        <v>179580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71435.899999999994</v>
      </c>
      <c r="I200" s="18"/>
      <c r="J200" s="18"/>
      <c r="K200" s="18"/>
      <c r="L200" s="19">
        <f t="shared" si="0"/>
        <v>71435.899999999994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1558158.1600000001</v>
      </c>
      <c r="G203" s="41">
        <f t="shared" si="1"/>
        <v>534171.62</v>
      </c>
      <c r="H203" s="41">
        <f t="shared" si="1"/>
        <v>242971.91999999998</v>
      </c>
      <c r="I203" s="41">
        <f t="shared" si="1"/>
        <v>111452.3</v>
      </c>
      <c r="J203" s="41">
        <f t="shared" si="1"/>
        <v>17130.71</v>
      </c>
      <c r="K203" s="41">
        <f t="shared" si="1"/>
        <v>8882.7999999999993</v>
      </c>
      <c r="L203" s="41">
        <f t="shared" si="1"/>
        <v>2472767.5100000002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1558158.1600000001</v>
      </c>
      <c r="G249" s="41">
        <f t="shared" si="8"/>
        <v>534171.62</v>
      </c>
      <c r="H249" s="41">
        <f t="shared" si="8"/>
        <v>242971.91999999998</v>
      </c>
      <c r="I249" s="41">
        <f t="shared" si="8"/>
        <v>111452.3</v>
      </c>
      <c r="J249" s="41">
        <f t="shared" si="8"/>
        <v>17130.71</v>
      </c>
      <c r="K249" s="41">
        <f t="shared" si="8"/>
        <v>8882.7999999999993</v>
      </c>
      <c r="L249" s="41">
        <f t="shared" si="8"/>
        <v>2472767.5100000002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195000</v>
      </c>
      <c r="L252" s="19">
        <f>SUM(F252:K252)</f>
        <v>195000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24862.5</v>
      </c>
      <c r="L253" s="19">
        <f>SUM(F253:K253)</f>
        <v>24862.5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219862.5</v>
      </c>
      <c r="L262" s="41">
        <f t="shared" si="9"/>
        <v>219862.5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1558158.1600000001</v>
      </c>
      <c r="G263" s="42">
        <f t="shared" si="11"/>
        <v>534171.62</v>
      </c>
      <c r="H263" s="42">
        <f t="shared" si="11"/>
        <v>242971.91999999998</v>
      </c>
      <c r="I263" s="42">
        <f t="shared" si="11"/>
        <v>111452.3</v>
      </c>
      <c r="J263" s="42">
        <f t="shared" si="11"/>
        <v>17130.71</v>
      </c>
      <c r="K263" s="42">
        <f t="shared" si="11"/>
        <v>228745.3</v>
      </c>
      <c r="L263" s="42">
        <f t="shared" si="11"/>
        <v>2692630.0100000002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 t="s">
        <v>310</v>
      </c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>
        <v>2665.46</v>
      </c>
      <c r="J271" s="18"/>
      <c r="K271" s="18"/>
      <c r="L271" s="19">
        <f>SUM(F271:K271)</f>
        <v>2665.46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2665.46</v>
      </c>
      <c r="J282" s="42">
        <f t="shared" si="13"/>
        <v>0</v>
      </c>
      <c r="K282" s="42">
        <f t="shared" si="13"/>
        <v>0</v>
      </c>
      <c r="L282" s="41">
        <f t="shared" si="13"/>
        <v>2665.46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2665.46</v>
      </c>
      <c r="J330" s="41">
        <f t="shared" si="20"/>
        <v>0</v>
      </c>
      <c r="K330" s="41">
        <f t="shared" si="20"/>
        <v>0</v>
      </c>
      <c r="L330" s="41">
        <f t="shared" si="20"/>
        <v>2665.46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2665.46</v>
      </c>
      <c r="J344" s="41">
        <f>J330</f>
        <v>0</v>
      </c>
      <c r="K344" s="47">
        <f>K330+K343</f>
        <v>0</v>
      </c>
      <c r="L344" s="41">
        <f>L330+L343</f>
        <v>2665.46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22601.8</v>
      </c>
      <c r="G350" s="18">
        <v>1790.69</v>
      </c>
      <c r="H350" s="18"/>
      <c r="I350" s="18">
        <v>25281.99</v>
      </c>
      <c r="J350" s="18">
        <v>732.73</v>
      </c>
      <c r="K350" s="18"/>
      <c r="L350" s="13">
        <f>SUM(F350:K350)</f>
        <v>50407.21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22601.8</v>
      </c>
      <c r="G354" s="47">
        <f t="shared" si="22"/>
        <v>1790.69</v>
      </c>
      <c r="H354" s="47">
        <f t="shared" si="22"/>
        <v>0</v>
      </c>
      <c r="I354" s="47">
        <f t="shared" si="22"/>
        <v>25281.99</v>
      </c>
      <c r="J354" s="47">
        <f t="shared" si="22"/>
        <v>732.73</v>
      </c>
      <c r="K354" s="47">
        <f t="shared" si="22"/>
        <v>0</v>
      </c>
      <c r="L354" s="47">
        <f t="shared" si="22"/>
        <v>50407.21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25281.99</v>
      </c>
      <c r="G359" s="18"/>
      <c r="H359" s="18"/>
      <c r="I359" s="56">
        <f>SUM(F359:H359)</f>
        <v>25281.99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25281.99</v>
      </c>
      <c r="G361" s="47">
        <f>SUM(G359:G360)</f>
        <v>0</v>
      </c>
      <c r="H361" s="47">
        <f>SUM(H359:H360)</f>
        <v>0</v>
      </c>
      <c r="I361" s="47">
        <f>SUM(I359:I360)</f>
        <v>25281.99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50.08</v>
      </c>
      <c r="I384" s="18">
        <v>3003.75</v>
      </c>
      <c r="J384" s="24" t="s">
        <v>312</v>
      </c>
      <c r="K384" s="24" t="s">
        <v>312</v>
      </c>
      <c r="L384" s="56">
        <f t="shared" si="25"/>
        <v>3053.83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50.08</v>
      </c>
      <c r="I385" s="65">
        <f>SUM(I379:I384)</f>
        <v>3003.75</v>
      </c>
      <c r="J385" s="45" t="s">
        <v>312</v>
      </c>
      <c r="K385" s="45" t="s">
        <v>312</v>
      </c>
      <c r="L385" s="47">
        <f>SUM(L379:L384)</f>
        <v>3053.83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50.08</v>
      </c>
      <c r="I400" s="47">
        <f>I385+I393+I399</f>
        <v>3003.75</v>
      </c>
      <c r="J400" s="24" t="s">
        <v>312</v>
      </c>
      <c r="K400" s="24" t="s">
        <v>312</v>
      </c>
      <c r="L400" s="47">
        <f>L385+L393+L399</f>
        <v>3053.83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10715.14</v>
      </c>
      <c r="H431" s="18">
        <v>9560.27</v>
      </c>
      <c r="I431" s="56">
        <f t="shared" ref="I431:I437" si="33">SUM(F431:H431)</f>
        <v>20275.41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10715.14</v>
      </c>
      <c r="H438" s="13">
        <f>SUM(H431:H437)</f>
        <v>9560.27</v>
      </c>
      <c r="I438" s="13">
        <f>SUM(I431:I437)</f>
        <v>20275.41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10715.14</v>
      </c>
      <c r="H449" s="18">
        <v>9560.27</v>
      </c>
      <c r="I449" s="56">
        <f>SUM(F449:H449)</f>
        <v>20275.41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10715.14</v>
      </c>
      <c r="H450" s="83">
        <f>SUM(H446:H449)</f>
        <v>9560.27</v>
      </c>
      <c r="I450" s="83">
        <f>SUM(I446:I449)</f>
        <v>20275.41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10715.14</v>
      </c>
      <c r="H451" s="42">
        <f>H444+H450</f>
        <v>9560.27</v>
      </c>
      <c r="I451" s="42">
        <f>I444+I450</f>
        <v>20275.41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83945.22</v>
      </c>
      <c r="G455" s="18">
        <v>12299.52</v>
      </c>
      <c r="H455" s="18">
        <v>5676.59</v>
      </c>
      <c r="I455" s="18"/>
      <c r="J455" s="18">
        <v>17221.580000000002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2676234.1800000002</v>
      </c>
      <c r="G458" s="18">
        <v>55123.99</v>
      </c>
      <c r="H458" s="18">
        <v>3196.82</v>
      </c>
      <c r="I458" s="18"/>
      <c r="J458" s="18">
        <v>3053.83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 t="s">
        <v>310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2676234.1800000002</v>
      </c>
      <c r="G460" s="53">
        <f>SUM(G458:G459)</f>
        <v>55123.99</v>
      </c>
      <c r="H460" s="53">
        <f>SUM(H458:H459)</f>
        <v>3196.82</v>
      </c>
      <c r="I460" s="53">
        <f>SUM(I458:I459)</f>
        <v>0</v>
      </c>
      <c r="J460" s="53">
        <f>SUM(J458:J459)</f>
        <v>3053.83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2692630.01</v>
      </c>
      <c r="G462" s="18">
        <v>50407.21</v>
      </c>
      <c r="H462" s="18">
        <v>2665.46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 t="s">
        <v>379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2692630.01</v>
      </c>
      <c r="G464" s="53">
        <f>SUM(G462:G463)</f>
        <v>50407.21</v>
      </c>
      <c r="H464" s="53">
        <f>SUM(H462:H463)</f>
        <v>2665.46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67549.390000000596</v>
      </c>
      <c r="G466" s="53">
        <f>(G455+G460)- G464</f>
        <v>17016.299999999996</v>
      </c>
      <c r="H466" s="53">
        <f>(H455+H460)- H464</f>
        <v>6207.95</v>
      </c>
      <c r="I466" s="53">
        <f>(I455+I460)- I464</f>
        <v>0</v>
      </c>
      <c r="J466" s="53">
        <f>(J455+J460)- J464</f>
        <v>20275.410000000003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3.58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780000</v>
      </c>
      <c r="G485" s="18"/>
      <c r="H485" s="18"/>
      <c r="I485" s="18"/>
      <c r="J485" s="18"/>
      <c r="K485" s="53">
        <f>SUM(F485:J485)</f>
        <v>780000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F485-F488</f>
        <v>195000</v>
      </c>
      <c r="G487" s="18"/>
      <c r="H487" s="18"/>
      <c r="I487" s="18"/>
      <c r="J487" s="18"/>
      <c r="K487" s="53">
        <f t="shared" si="34"/>
        <v>195000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585000</v>
      </c>
      <c r="G488" s="205"/>
      <c r="H488" s="205"/>
      <c r="I488" s="205"/>
      <c r="J488" s="205"/>
      <c r="K488" s="206">
        <f t="shared" si="34"/>
        <v>585000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33150</v>
      </c>
      <c r="G489" s="18"/>
      <c r="H489" s="18"/>
      <c r="I489" s="18"/>
      <c r="J489" s="18"/>
      <c r="K489" s="53">
        <f t="shared" si="34"/>
        <v>33150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618150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618150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195000</v>
      </c>
      <c r="G491" s="205"/>
      <c r="H491" s="205"/>
      <c r="I491" s="205"/>
      <c r="J491" s="205"/>
      <c r="K491" s="206">
        <f t="shared" si="34"/>
        <v>195000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18037.5</v>
      </c>
      <c r="G492" s="18"/>
      <c r="H492" s="18"/>
      <c r="I492" s="18"/>
      <c r="J492" s="18"/>
      <c r="K492" s="53">
        <f t="shared" si="34"/>
        <v>18037.5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213037.5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213037.5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225839.53</v>
      </c>
      <c r="G511" s="18">
        <v>107370.6</v>
      </c>
      <c r="H511" s="18">
        <v>13677.76</v>
      </c>
      <c r="I511" s="18">
        <v>6672.58</v>
      </c>
      <c r="J511" s="18">
        <v>1913.48</v>
      </c>
      <c r="K511" s="18"/>
      <c r="L511" s="88">
        <f>SUM(F511:K511)</f>
        <v>355473.95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225839.53</v>
      </c>
      <c r="G514" s="108">
        <f t="shared" ref="G514:L514" si="35">SUM(G511:G513)</f>
        <v>107370.6</v>
      </c>
      <c r="H514" s="108">
        <f t="shared" si="35"/>
        <v>13677.76</v>
      </c>
      <c r="I514" s="108">
        <f t="shared" si="35"/>
        <v>6672.58</v>
      </c>
      <c r="J514" s="108">
        <f t="shared" si="35"/>
        <v>1913.48</v>
      </c>
      <c r="K514" s="108">
        <f t="shared" si="35"/>
        <v>0</v>
      </c>
      <c r="L514" s="89">
        <f t="shared" si="35"/>
        <v>355473.95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121507.9</v>
      </c>
      <c r="G516" s="18">
        <v>37319.65</v>
      </c>
      <c r="H516" s="18">
        <v>16547.5</v>
      </c>
      <c r="I516" s="18">
        <v>243.73</v>
      </c>
      <c r="J516" s="18">
        <v>107.28</v>
      </c>
      <c r="K516" s="18"/>
      <c r="L516" s="88">
        <f>SUM(F516:K516)</f>
        <v>175726.06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121507.9</v>
      </c>
      <c r="G519" s="89">
        <f t="shared" ref="G519:L519" si="36">SUM(G516:G518)</f>
        <v>37319.65</v>
      </c>
      <c r="H519" s="89">
        <f t="shared" si="36"/>
        <v>16547.5</v>
      </c>
      <c r="I519" s="89">
        <f t="shared" si="36"/>
        <v>243.73</v>
      </c>
      <c r="J519" s="89">
        <f t="shared" si="36"/>
        <v>107.28</v>
      </c>
      <c r="K519" s="89">
        <f t="shared" si="36"/>
        <v>0</v>
      </c>
      <c r="L519" s="89">
        <f t="shared" si="36"/>
        <v>175726.06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21937.75</v>
      </c>
      <c r="G521" s="18">
        <v>5703.76</v>
      </c>
      <c r="H521" s="18">
        <v>2091.88</v>
      </c>
      <c r="I521" s="18">
        <v>496.63</v>
      </c>
      <c r="J521" s="18">
        <v>206.18</v>
      </c>
      <c r="K521" s="18"/>
      <c r="L521" s="88">
        <f>SUM(F521:K521)</f>
        <v>30436.200000000004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21937.75</v>
      </c>
      <c r="G524" s="89">
        <f t="shared" ref="G524:L524" si="37">SUM(G521:G523)</f>
        <v>5703.76</v>
      </c>
      <c r="H524" s="89">
        <f t="shared" si="37"/>
        <v>2091.88</v>
      </c>
      <c r="I524" s="89">
        <f t="shared" si="37"/>
        <v>496.63</v>
      </c>
      <c r="J524" s="89">
        <f t="shared" si="37"/>
        <v>206.18</v>
      </c>
      <c r="K524" s="89">
        <f t="shared" si="37"/>
        <v>0</v>
      </c>
      <c r="L524" s="89">
        <f t="shared" si="37"/>
        <v>30436.200000000004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 t="s">
        <v>310</v>
      </c>
      <c r="G526" s="18"/>
      <c r="H526" s="18">
        <v>1234.5899999999999</v>
      </c>
      <c r="I526" s="18"/>
      <c r="J526" s="18"/>
      <c r="K526" s="18"/>
      <c r="L526" s="88">
        <f>SUM(F526:K526)</f>
        <v>1234.5899999999999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1234.5899999999999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1234.5899999999999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2000</v>
      </c>
      <c r="I531" s="18"/>
      <c r="J531" s="18"/>
      <c r="K531" s="18"/>
      <c r="L531" s="88">
        <f>SUM(F531:K531)</f>
        <v>2000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2000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2000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369285.18</v>
      </c>
      <c r="G535" s="89">
        <f t="shared" ref="G535:L535" si="40">G514+G519+G524+G529+G534</f>
        <v>150394.01</v>
      </c>
      <c r="H535" s="89">
        <f t="shared" si="40"/>
        <v>35551.730000000003</v>
      </c>
      <c r="I535" s="89">
        <f t="shared" si="40"/>
        <v>7412.94</v>
      </c>
      <c r="J535" s="89">
        <f t="shared" si="40"/>
        <v>2226.94</v>
      </c>
      <c r="K535" s="89">
        <f t="shared" si="40"/>
        <v>0</v>
      </c>
      <c r="L535" s="89">
        <f t="shared" si="40"/>
        <v>564870.79999999993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355473.95</v>
      </c>
      <c r="G539" s="87">
        <f>L516</f>
        <v>175726.06</v>
      </c>
      <c r="H539" s="87">
        <f>L521</f>
        <v>30436.200000000004</v>
      </c>
      <c r="I539" s="87">
        <f>L526</f>
        <v>1234.5899999999999</v>
      </c>
      <c r="J539" s="87">
        <f>L531</f>
        <v>2000</v>
      </c>
      <c r="K539" s="87">
        <f>SUM(F539:J539)</f>
        <v>564870.79999999993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355473.95</v>
      </c>
      <c r="G542" s="89">
        <f t="shared" si="41"/>
        <v>175726.06</v>
      </c>
      <c r="H542" s="89">
        <f t="shared" si="41"/>
        <v>30436.200000000004</v>
      </c>
      <c r="I542" s="89">
        <f t="shared" si="41"/>
        <v>1234.5899999999999</v>
      </c>
      <c r="J542" s="89">
        <f t="shared" si="41"/>
        <v>2000</v>
      </c>
      <c r="K542" s="89">
        <f t="shared" si="41"/>
        <v>564870.79999999993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5082.68</v>
      </c>
      <c r="G569" s="18"/>
      <c r="H569" s="18"/>
      <c r="I569" s="87">
        <f t="shared" si="46"/>
        <v>5082.68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4560</v>
      </c>
      <c r="G572" s="18"/>
      <c r="H572" s="18"/>
      <c r="I572" s="87">
        <f t="shared" si="46"/>
        <v>4560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69435.899999999994</v>
      </c>
      <c r="I581" s="18"/>
      <c r="J581" s="18"/>
      <c r="K581" s="104">
        <f t="shared" ref="K581:K587" si="47">SUM(H581:J581)</f>
        <v>69435.899999999994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2000</v>
      </c>
      <c r="I582" s="18"/>
      <c r="J582" s="18"/>
      <c r="K582" s="104">
        <f t="shared" si="47"/>
        <v>2000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71435.899999999994</v>
      </c>
      <c r="I588" s="108">
        <f>SUM(I581:I587)</f>
        <v>0</v>
      </c>
      <c r="J588" s="108">
        <f>SUM(J581:J587)</f>
        <v>0</v>
      </c>
      <c r="K588" s="108">
        <f>SUM(K581:K587)</f>
        <v>71435.899999999994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17130.71</v>
      </c>
      <c r="I594" s="18"/>
      <c r="J594" s="18"/>
      <c r="K594" s="104">
        <f>SUM(H594:J594)</f>
        <v>17130.71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17130.71</v>
      </c>
      <c r="I595" s="108">
        <f>SUM(I592:I594)</f>
        <v>0</v>
      </c>
      <c r="J595" s="108">
        <f>SUM(J592:J594)</f>
        <v>0</v>
      </c>
      <c r="K595" s="108">
        <f>SUM(K592:K594)</f>
        <v>17130.71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276514.03999999998</v>
      </c>
      <c r="H607" s="109">
        <f>SUM(F44)</f>
        <v>276514.03999999998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2155.21</v>
      </c>
      <c r="H608" s="109">
        <f>SUM(G44)</f>
        <v>2155.2099999999991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20275.41</v>
      </c>
      <c r="H611" s="109">
        <f>SUM(J44)</f>
        <v>20275.41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67549.39</v>
      </c>
      <c r="H612" s="109">
        <f>F466</f>
        <v>67549.390000000596</v>
      </c>
      <c r="I612" s="121" t="s">
        <v>106</v>
      </c>
      <c r="J612" s="109">
        <f t="shared" ref="J612:J645" si="49">G612-H612</f>
        <v>-5.9662852436304092E-10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17016.3</v>
      </c>
      <c r="H613" s="109">
        <f>G466</f>
        <v>17016.299999999996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6207.95</v>
      </c>
      <c r="H614" s="109">
        <f>H466</f>
        <v>6207.95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20275.41</v>
      </c>
      <c r="H616" s="109">
        <f>J466</f>
        <v>20275.410000000003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2676234.1800000002</v>
      </c>
      <c r="H617" s="104">
        <f>SUM(F458)</f>
        <v>2676234.1800000002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55123.99</v>
      </c>
      <c r="H618" s="104">
        <f>SUM(G458)</f>
        <v>55123.99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3196.82</v>
      </c>
      <c r="H619" s="104">
        <f>SUM(H458)</f>
        <v>3196.82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3053.83</v>
      </c>
      <c r="H621" s="104">
        <f>SUM(J458)</f>
        <v>3053.83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2692630.0100000002</v>
      </c>
      <c r="H622" s="104">
        <f>SUM(F462)</f>
        <v>2692630.01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2665.46</v>
      </c>
      <c r="H623" s="104">
        <f>SUM(H462)</f>
        <v>2665.46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25281.99</v>
      </c>
      <c r="H624" s="104">
        <f>I361</f>
        <v>25281.99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50407.21</v>
      </c>
      <c r="H625" s="104">
        <f>SUM(G462)</f>
        <v>50407.21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3053.83</v>
      </c>
      <c r="H627" s="164">
        <f>SUM(J458)</f>
        <v>3053.83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10715.14</v>
      </c>
      <c r="H630" s="104">
        <f>SUM(G451)</f>
        <v>10715.14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9560.27</v>
      </c>
      <c r="H631" s="104">
        <f>SUM(H451)</f>
        <v>9560.27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20275.41</v>
      </c>
      <c r="H632" s="104">
        <f>SUM(I451)</f>
        <v>20275.41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50.08</v>
      </c>
      <c r="H634" s="104">
        <f>H400</f>
        <v>50.08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3053.83</v>
      </c>
      <c r="H636" s="104">
        <f>L400</f>
        <v>3053.83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71435.899999999994</v>
      </c>
      <c r="H637" s="104">
        <f>L200+L218+L236</f>
        <v>71435.899999999994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17130.71</v>
      </c>
      <c r="H638" s="104">
        <f>(J249+J330)-(J247+J328)</f>
        <v>17130.71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71435.899999999994</v>
      </c>
      <c r="H639" s="104">
        <f>H588</f>
        <v>71435.899999999994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2525840.1800000002</v>
      </c>
      <c r="G650" s="19">
        <f>(L221+L301+L351)</f>
        <v>0</v>
      </c>
      <c r="H650" s="19">
        <f>(L239+L320+L352)</f>
        <v>0</v>
      </c>
      <c r="I650" s="19">
        <f>SUM(F650:H650)</f>
        <v>2525840.1800000002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47539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47539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71435.899999999994</v>
      </c>
      <c r="G652" s="19">
        <f>(L218+L298)-(J218+J298)</f>
        <v>0</v>
      </c>
      <c r="H652" s="19">
        <f>(L236+L317)-(J236+J317)</f>
        <v>0</v>
      </c>
      <c r="I652" s="19">
        <f>SUM(F652:H652)</f>
        <v>71435.899999999994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26773.39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26773.39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2380091.89</v>
      </c>
      <c r="G654" s="19">
        <f>G650-SUM(G651:G653)</f>
        <v>0</v>
      </c>
      <c r="H654" s="19">
        <f>H650-SUM(H651:H653)</f>
        <v>0</v>
      </c>
      <c r="I654" s="19">
        <f>I650-SUM(I651:I653)</f>
        <v>2380091.89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191.64</v>
      </c>
      <c r="G655" s="249"/>
      <c r="H655" s="249"/>
      <c r="I655" s="19">
        <f>SUM(F655:H655)</f>
        <v>191.64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12419.6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12419.6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12419.6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12419.6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373E-EC19-4FE4-B4A2-48D6071E8942}">
  <sheetPr>
    <tabColor indexed="20"/>
  </sheetPr>
  <dimension ref="A1:C52"/>
  <sheetViews>
    <sheetView topLeftCell="A13" workbookViewId="0">
      <selection activeCell="C46" sqref="C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KENSINGTON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899287.44</v>
      </c>
      <c r="C9" s="230">
        <f>'DOE25'!G189+'DOE25'!G207+'DOE25'!G225+'DOE25'!G268+'DOE25'!G287+'DOE25'!G306</f>
        <v>324817.24</v>
      </c>
    </row>
    <row r="10" spans="1:3" x14ac:dyDescent="0.2">
      <c r="A10" t="s">
        <v>813</v>
      </c>
      <c r="B10" s="241">
        <v>879674.26</v>
      </c>
      <c r="C10" s="241">
        <v>323052.05</v>
      </c>
    </row>
    <row r="11" spans="1:3" x14ac:dyDescent="0.2">
      <c r="A11" t="s">
        <v>814</v>
      </c>
      <c r="B11" s="241">
        <v>0</v>
      </c>
      <c r="C11" s="241">
        <v>0</v>
      </c>
    </row>
    <row r="12" spans="1:3" x14ac:dyDescent="0.2">
      <c r="A12" t="s">
        <v>815</v>
      </c>
      <c r="B12" s="241">
        <v>19613.18</v>
      </c>
      <c r="C12" s="241">
        <v>1765.19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899287.44000000006</v>
      </c>
      <c r="C13" s="232">
        <f>SUM(C10:C12)</f>
        <v>324817.24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225839.53</v>
      </c>
      <c r="C18" s="230">
        <f>'DOE25'!G190+'DOE25'!G208+'DOE25'!G226+'DOE25'!G269+'DOE25'!G288+'DOE25'!G307</f>
        <v>107370.6</v>
      </c>
    </row>
    <row r="19" spans="1:3" x14ac:dyDescent="0.2">
      <c r="A19" t="s">
        <v>813</v>
      </c>
      <c r="B19" s="241">
        <v>133671.32999999999</v>
      </c>
      <c r="C19" s="241">
        <v>90780.32</v>
      </c>
    </row>
    <row r="20" spans="1:3" x14ac:dyDescent="0.2">
      <c r="A20" t="s">
        <v>814</v>
      </c>
      <c r="B20" s="241">
        <v>92168.2</v>
      </c>
      <c r="C20" s="241">
        <v>16590.28</v>
      </c>
    </row>
    <row r="21" spans="1:3" x14ac:dyDescent="0.2">
      <c r="A21" t="s">
        <v>815</v>
      </c>
      <c r="B21" s="241">
        <v>0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225839.52999999997</v>
      </c>
      <c r="C22" s="232">
        <f>SUM(C19:C21)</f>
        <v>107370.6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1832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>
        <v>1832</v>
      </c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1832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C7F4-3439-4E0F-AE03-316A1DE7CB49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KENSINGTON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1642031.0000000002</v>
      </c>
      <c r="D5" s="20">
        <f>SUM('DOE25'!L189:L192)+SUM('DOE25'!L207:L210)+SUM('DOE25'!L225:L228)-F5-G5</f>
        <v>1631248.6400000001</v>
      </c>
      <c r="E5" s="244"/>
      <c r="F5" s="256">
        <f>SUM('DOE25'!J189:J192)+SUM('DOE25'!J207:J210)+SUM('DOE25'!J225:J228)</f>
        <v>2692.56</v>
      </c>
      <c r="G5" s="53">
        <f>SUM('DOE25'!K189:K192)+SUM('DOE25'!K207:K210)+SUM('DOE25'!K225:K228)</f>
        <v>8089.8</v>
      </c>
      <c r="H5" s="260"/>
    </row>
    <row r="6" spans="1:9" x14ac:dyDescent="0.2">
      <c r="A6" s="32">
        <v>2100</v>
      </c>
      <c r="B6" t="s">
        <v>835</v>
      </c>
      <c r="C6" s="246">
        <f t="shared" si="0"/>
        <v>181694.06000000003</v>
      </c>
      <c r="D6" s="20">
        <f>'DOE25'!L194+'DOE25'!L212+'DOE25'!L230-F6-G6</f>
        <v>181586.78000000003</v>
      </c>
      <c r="E6" s="244"/>
      <c r="F6" s="256">
        <f>'DOE25'!J194+'DOE25'!J212+'DOE25'!J230</f>
        <v>107.28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143010.03999999998</v>
      </c>
      <c r="D7" s="20">
        <f>'DOE25'!L195+'DOE25'!L213+'DOE25'!L231-F7-G7</f>
        <v>128679.16999999998</v>
      </c>
      <c r="E7" s="244"/>
      <c r="F7" s="256">
        <f>'DOE25'!J195+'DOE25'!J213+'DOE25'!J231</f>
        <v>14330.87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61693.929999999993</v>
      </c>
      <c r="D8" s="244"/>
      <c r="E8" s="20">
        <f>'DOE25'!L196+'DOE25'!L214+'DOE25'!L232-F8-G8-D9-D11</f>
        <v>61693.929999999993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7129.53</v>
      </c>
      <c r="D9" s="245">
        <v>7129.53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9285.0300000000007</v>
      </c>
      <c r="D11" s="245">
        <v>9285.0300000000007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176908.02</v>
      </c>
      <c r="D12" s="20">
        <f>'DOE25'!L197+'DOE25'!L215+'DOE25'!L233-F12-G12</f>
        <v>176115.02</v>
      </c>
      <c r="E12" s="244"/>
      <c r="F12" s="256">
        <f>'DOE25'!J197+'DOE25'!J215+'DOE25'!J233</f>
        <v>0</v>
      </c>
      <c r="G12" s="53">
        <f>'DOE25'!K197+'DOE25'!K215+'DOE25'!K233</f>
        <v>793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179580</v>
      </c>
      <c r="D14" s="20">
        <f>'DOE25'!L199+'DOE25'!L217+'DOE25'!L235-F14-G14</f>
        <v>179580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71435.899999999994</v>
      </c>
      <c r="D15" s="20">
        <f>'DOE25'!L200+'DOE25'!L218+'DOE25'!L236-F15-G15</f>
        <v>71435.899999999994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219862.5</v>
      </c>
      <c r="D25" s="244"/>
      <c r="E25" s="244"/>
      <c r="F25" s="259"/>
      <c r="G25" s="257"/>
      <c r="H25" s="258">
        <f>'DOE25'!L252+'DOE25'!L253+'DOE25'!L333+'DOE25'!L334</f>
        <v>219862.5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25125.219999999998</v>
      </c>
      <c r="D29" s="20">
        <f>'DOE25'!L350+'DOE25'!L351+'DOE25'!L352-'DOE25'!I359-F29-G29</f>
        <v>24392.489999999998</v>
      </c>
      <c r="E29" s="244"/>
      <c r="F29" s="256">
        <f>'DOE25'!J350+'DOE25'!J351+'DOE25'!J352</f>
        <v>732.73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2665.46</v>
      </c>
      <c r="D31" s="20">
        <f>'DOE25'!L282+'DOE25'!L301+'DOE25'!L320+'DOE25'!L325+'DOE25'!L326+'DOE25'!L327-F31-G31</f>
        <v>2665.46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2412118.02</v>
      </c>
      <c r="E33" s="247">
        <f>SUM(E5:E31)</f>
        <v>61693.929999999993</v>
      </c>
      <c r="F33" s="247">
        <f>SUM(F5:F31)</f>
        <v>17863.439999999999</v>
      </c>
      <c r="G33" s="247">
        <f>SUM(G5:G31)</f>
        <v>8882.7999999999993</v>
      </c>
      <c r="H33" s="247">
        <f>SUM(H5:H31)</f>
        <v>219862.5</v>
      </c>
    </row>
    <row r="35" spans="2:8" ht="12" thickBot="1" x14ac:dyDescent="0.25">
      <c r="B35" s="254" t="s">
        <v>881</v>
      </c>
      <c r="D35" s="255">
        <f>E33</f>
        <v>61693.929999999993</v>
      </c>
      <c r="E35" s="250"/>
    </row>
    <row r="36" spans="2:8" ht="12" thickTop="1" x14ac:dyDescent="0.2">
      <c r="B36" t="s">
        <v>849</v>
      </c>
      <c r="D36" s="20">
        <f>D33</f>
        <v>2412118.02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DA9F-EE9F-4318-80A8-10D65699604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274314.03999999998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20275.41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2200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2155.21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 t="str">
        <f>'DOE25'!F17</f>
        <v xml:space="preserve"> 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 t="str">
        <f>'DOE25'!F18</f>
        <v xml:space="preserve"> 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276514.03999999998</v>
      </c>
      <c r="D19" s="41">
        <f>SUM(D9:D18)</f>
        <v>2155.21</v>
      </c>
      <c r="E19" s="41">
        <f>SUM(E9:E18)</f>
        <v>0</v>
      </c>
      <c r="F19" s="41">
        <f>SUM(F9:F18)</f>
        <v>0</v>
      </c>
      <c r="G19" s="41">
        <f>SUM(G9:G18)</f>
        <v>20275.41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21809.95</v>
      </c>
      <c r="D22" s="95">
        <f>'DOE25'!G23</f>
        <v>-15602</v>
      </c>
      <c r="E22" s="95">
        <f>'DOE25'!H23</f>
        <v>-6207.95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740.91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106551.27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75689.279999999999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 t="str">
        <f>'DOE25'!F30</f>
        <v xml:space="preserve"> 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4324.3999999999996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589.75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208964.65</v>
      </c>
      <c r="D32" s="41">
        <f>SUM(D22:D31)</f>
        <v>-14861.09</v>
      </c>
      <c r="E32" s="41">
        <f>SUM(E22:E31)</f>
        <v>-6207.95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17016.3</v>
      </c>
      <c r="E40" s="95">
        <f>'DOE25'!H41</f>
        <v>6207.95</v>
      </c>
      <c r="F40" s="95">
        <f>'DOE25'!I41</f>
        <v>0</v>
      </c>
      <c r="G40" s="95">
        <f>'DOE25'!J41</f>
        <v>20275.41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67549.39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67549.39</v>
      </c>
      <c r="D42" s="41">
        <f>SUM(D34:D41)</f>
        <v>17016.3</v>
      </c>
      <c r="E42" s="41">
        <f>SUM(E34:E41)</f>
        <v>6207.95</v>
      </c>
      <c r="F42" s="41">
        <f>SUM(F34:F41)</f>
        <v>0</v>
      </c>
      <c r="G42" s="41">
        <f>SUM(G34:G41)</f>
        <v>20275.41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276514.03999999998</v>
      </c>
      <c r="D43" s="41">
        <f>D42+D32</f>
        <v>2155.2099999999991</v>
      </c>
      <c r="E43" s="41">
        <f>E42+E32</f>
        <v>0</v>
      </c>
      <c r="F43" s="41">
        <f>F42+F32</f>
        <v>0</v>
      </c>
      <c r="G43" s="41">
        <f>G42+G32</f>
        <v>20275.41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2029375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379.47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50.08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47539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3196.82</v>
      </c>
      <c r="F53" s="95">
        <f>SUM('DOE25'!I90:I102)</f>
        <v>0</v>
      </c>
      <c r="G53" s="95">
        <f>SUM('DOE25'!J90:J102)</f>
        <v>3003.75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379.47</v>
      </c>
      <c r="D54" s="130">
        <f>SUM(D49:D53)</f>
        <v>47539</v>
      </c>
      <c r="E54" s="130">
        <f>SUM(E49:E53)</f>
        <v>3196.82</v>
      </c>
      <c r="F54" s="130">
        <f>SUM(F49:F53)</f>
        <v>0</v>
      </c>
      <c r="G54" s="130">
        <f>SUM(G49:G53)</f>
        <v>3053.83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2029754.47</v>
      </c>
      <c r="D55" s="22">
        <f>D48+D54</f>
        <v>47539</v>
      </c>
      <c r="E55" s="22">
        <f>E48+E54</f>
        <v>3196.82</v>
      </c>
      <c r="F55" s="22">
        <f>F48+F54</f>
        <v>0</v>
      </c>
      <c r="G55" s="22">
        <f>G48+G54</f>
        <v>3053.83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157824.78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360356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60553.22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578734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61264.28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597.55999999999995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61264.28</v>
      </c>
      <c r="D70" s="130">
        <f>SUM(D64:D69)</f>
        <v>597.55999999999995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639998.28</v>
      </c>
      <c r="D73" s="130">
        <f>SUM(D71:D72)+D70+D62</f>
        <v>597.55999999999995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6481.43</v>
      </c>
      <c r="D80" s="95">
        <f>SUM('DOE25'!G145:G153)</f>
        <v>6987.43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6481.43</v>
      </c>
      <c r="D83" s="131">
        <f>SUM(D77:D82)</f>
        <v>6987.43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2676234.1800000002</v>
      </c>
      <c r="D96" s="86">
        <f>D55+D73+D83+D95</f>
        <v>55123.99</v>
      </c>
      <c r="E96" s="86">
        <f>E55+E73+E83+E95</f>
        <v>3196.82</v>
      </c>
      <c r="F96" s="86">
        <f>F55+F73+F83+F95</f>
        <v>0</v>
      </c>
      <c r="G96" s="86">
        <f>G55+G73+G95</f>
        <v>3053.83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1276635.2500000002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355473.95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9921.7999999999993</v>
      </c>
      <c r="D104" s="24" t="s">
        <v>312</v>
      </c>
      <c r="E104" s="95">
        <f>+('DOE25'!L271)+('DOE25'!L290)+('DOE25'!L309)</f>
        <v>2665.46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1642031.0000000002</v>
      </c>
      <c r="D107" s="86">
        <f>SUM(D101:D106)</f>
        <v>0</v>
      </c>
      <c r="E107" s="86">
        <f>SUM(E101:E106)</f>
        <v>2665.46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181694.06000000003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143010.03999999998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78108.489999999991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176908.02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179580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71435.899999999994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50407.21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830736.51</v>
      </c>
      <c r="D120" s="86">
        <f>SUM(D110:D119)</f>
        <v>50407.21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195000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24862.5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3053.83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-3053.83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219862.5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2692630.0100000002</v>
      </c>
      <c r="D137" s="86">
        <f>(D107+D120+D136)</f>
        <v>50407.21</v>
      </c>
      <c r="E137" s="86">
        <f>(E107+E120+E136)</f>
        <v>2665.46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8/2003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3.58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780000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195000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195000</v>
      </c>
    </row>
    <row r="151" spans="1:7" x14ac:dyDescent="0.2">
      <c r="A151" s="22" t="s">
        <v>35</v>
      </c>
      <c r="B151" s="137">
        <f>'DOE25'!F488</f>
        <v>585000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585000</v>
      </c>
    </row>
    <row r="152" spans="1:7" x14ac:dyDescent="0.2">
      <c r="A152" s="22" t="s">
        <v>36</v>
      </c>
      <c r="B152" s="137">
        <f>'DOE25'!F489</f>
        <v>33150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33150</v>
      </c>
    </row>
    <row r="153" spans="1:7" x14ac:dyDescent="0.2">
      <c r="A153" s="22" t="s">
        <v>37</v>
      </c>
      <c r="B153" s="137">
        <f>'DOE25'!F490</f>
        <v>618150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618150</v>
      </c>
    </row>
    <row r="154" spans="1:7" x14ac:dyDescent="0.2">
      <c r="A154" s="22" t="s">
        <v>38</v>
      </c>
      <c r="B154" s="137">
        <f>'DOE25'!F491</f>
        <v>195000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195000</v>
      </c>
    </row>
    <row r="155" spans="1:7" x14ac:dyDescent="0.2">
      <c r="A155" s="22" t="s">
        <v>39</v>
      </c>
      <c r="B155" s="137">
        <f>'DOE25'!F492</f>
        <v>18037.5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18037.5</v>
      </c>
    </row>
    <row r="156" spans="1:7" x14ac:dyDescent="0.2">
      <c r="A156" s="22" t="s">
        <v>269</v>
      </c>
      <c r="B156" s="137">
        <f>'DOE25'!F493</f>
        <v>213037.5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213037.5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F248-A229-4CA1-810C-516A98F8C2C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KENSINGTON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12420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12420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1276635</v>
      </c>
      <c r="D10" s="182">
        <f>ROUND((C10/$C$28)*100,1)</f>
        <v>51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355474</v>
      </c>
      <c r="D11" s="182">
        <f>ROUND((C11/$C$28)*100,1)</f>
        <v>14.2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12587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181694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143010</v>
      </c>
      <c r="D16" s="182">
        <f t="shared" si="0"/>
        <v>5.7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78108</v>
      </c>
      <c r="D17" s="182">
        <f t="shared" si="0"/>
        <v>3.1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176908</v>
      </c>
      <c r="D18" s="182">
        <f t="shared" si="0"/>
        <v>7.1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179580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71436</v>
      </c>
      <c r="D21" s="182">
        <f t="shared" si="0"/>
        <v>2.9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24863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2868</v>
      </c>
      <c r="D27" s="182">
        <f t="shared" si="0"/>
        <v>0.1</v>
      </c>
    </row>
    <row r="28" spans="1:4" x14ac:dyDescent="0.2">
      <c r="B28" s="187" t="s">
        <v>754</v>
      </c>
      <c r="C28" s="180">
        <f>SUM(C10:C27)</f>
        <v>2503163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2503163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195000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2029375</v>
      </c>
      <c r="D35" s="182">
        <f t="shared" ref="D35:D40" si="1">ROUND((C35/$C$41)*100,1)</f>
        <v>75.400000000000006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6630.1200000001118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518181</v>
      </c>
      <c r="D37" s="182">
        <f t="shared" si="1"/>
        <v>19.3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122415</v>
      </c>
      <c r="D38" s="182">
        <f t="shared" si="1"/>
        <v>4.5999999999999996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13469</v>
      </c>
      <c r="D39" s="182">
        <f t="shared" si="1"/>
        <v>0.5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2690070.12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471F-D215-4A38-ADB2-51F3A4B9269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KENSINGTON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2010-09-14T14:11:04Z</cp:lastPrinted>
  <dcterms:created xsi:type="dcterms:W3CDTF">1997-12-04T19:04:30Z</dcterms:created>
  <dcterms:modified xsi:type="dcterms:W3CDTF">2025-01-02T14:53:47Z</dcterms:modified>
</cp:coreProperties>
</file>