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C5AC8AE-F2CE-4B87-9A43-76D03152D58E}" xr6:coauthVersionLast="47" xr6:coauthVersionMax="47" xr10:uidLastSave="{00000000-0000-0000-0000-000000000000}"/>
  <workbookProtection workbookPassword="B70A" lockStructure="1"/>
  <bookViews>
    <workbookView xWindow="1560" yWindow="1560" windowWidth="21600" windowHeight="11505" tabRatio="855" xr2:uid="{8B7111A3-F676-48F8-87FA-A8B6ABA31BA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J594" i="1"/>
  <c r="J593" i="1"/>
  <c r="I593" i="1"/>
  <c r="G325" i="1"/>
  <c r="F325" i="1"/>
  <c r="I308" i="1"/>
  <c r="H308" i="1"/>
  <c r="H312" i="1"/>
  <c r="I306" i="1"/>
  <c r="H306" i="1"/>
  <c r="H320" i="1" s="1"/>
  <c r="F306" i="1"/>
  <c r="L306" i="1" s="1"/>
  <c r="L320" i="1" s="1"/>
  <c r="H293" i="1"/>
  <c r="I287" i="1"/>
  <c r="H287" i="1"/>
  <c r="F287" i="1"/>
  <c r="L287" i="1" s="1"/>
  <c r="L301" i="1" s="1"/>
  <c r="H268" i="1"/>
  <c r="H274" i="1"/>
  <c r="I268" i="1"/>
  <c r="F268" i="1"/>
  <c r="J308" i="1"/>
  <c r="H462" i="1"/>
  <c r="H623" i="1" s="1"/>
  <c r="G462" i="1"/>
  <c r="G464" i="1" s="1"/>
  <c r="H458" i="1"/>
  <c r="H460" i="1" s="1"/>
  <c r="H466" i="1" s="1"/>
  <c r="H614" i="1" s="1"/>
  <c r="J614" i="1" s="1"/>
  <c r="G458" i="1"/>
  <c r="J352" i="1"/>
  <c r="L352" i="1" s="1"/>
  <c r="H651" i="1" s="1"/>
  <c r="J351" i="1"/>
  <c r="J350" i="1"/>
  <c r="F29" i="13" s="1"/>
  <c r="H127" i="1"/>
  <c r="H128" i="1" s="1"/>
  <c r="H132" i="1" s="1"/>
  <c r="H594" i="1"/>
  <c r="H233" i="1"/>
  <c r="H215" i="1"/>
  <c r="H197" i="1"/>
  <c r="I233" i="1"/>
  <c r="L233" i="1" s="1"/>
  <c r="C18" i="10" s="1"/>
  <c r="I231" i="1"/>
  <c r="I239" i="1" s="1"/>
  <c r="I213" i="1"/>
  <c r="I221" i="1" s="1"/>
  <c r="I249" i="1" s="1"/>
  <c r="I263" i="1" s="1"/>
  <c r="I195" i="1"/>
  <c r="I230" i="1"/>
  <c r="L230" i="1" s="1"/>
  <c r="C110" i="2" s="1"/>
  <c r="I227" i="1"/>
  <c r="H227" i="1"/>
  <c r="H239" i="1" s="1"/>
  <c r="H249" i="1" s="1"/>
  <c r="H263" i="1" s="1"/>
  <c r="H231" i="1"/>
  <c r="L231" i="1" s="1"/>
  <c r="H213" i="1"/>
  <c r="H195" i="1"/>
  <c r="H235" i="1"/>
  <c r="H243" i="1"/>
  <c r="K196" i="1"/>
  <c r="G8" i="13" s="1"/>
  <c r="K214" i="1"/>
  <c r="L214" i="1" s="1"/>
  <c r="L221" i="1" s="1"/>
  <c r="G650" i="1" s="1"/>
  <c r="G654" i="1" s="1"/>
  <c r="K232" i="1"/>
  <c r="L232" i="1" s="1"/>
  <c r="G268" i="1"/>
  <c r="K311" i="1"/>
  <c r="L311" i="1" s="1"/>
  <c r="E110" i="2" s="1"/>
  <c r="E120" i="2" s="1"/>
  <c r="G306" i="1"/>
  <c r="G287" i="1"/>
  <c r="C9" i="12" s="1"/>
  <c r="I594" i="1"/>
  <c r="H593" i="1"/>
  <c r="H200" i="1"/>
  <c r="H218" i="1"/>
  <c r="H236" i="1"/>
  <c r="G13" i="1"/>
  <c r="G19" i="1" s="1"/>
  <c r="G608" i="1" s="1"/>
  <c r="G236" i="1"/>
  <c r="L236" i="1" s="1"/>
  <c r="J582" i="1"/>
  <c r="J588" i="1" s="1"/>
  <c r="H641" i="1" s="1"/>
  <c r="C60" i="2"/>
  <c r="B2" i="13"/>
  <c r="F8" i="13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G33" i="13" s="1"/>
  <c r="L189" i="1"/>
  <c r="L190" i="1"/>
  <c r="L191" i="1"/>
  <c r="C103" i="2" s="1"/>
  <c r="L192" i="1"/>
  <c r="C13" i="10" s="1"/>
  <c r="L207" i="1"/>
  <c r="L208" i="1"/>
  <c r="L209" i="1"/>
  <c r="L210" i="1"/>
  <c r="L225" i="1"/>
  <c r="L226" i="1"/>
  <c r="C11" i="10" s="1"/>
  <c r="L227" i="1"/>
  <c r="C12" i="10" s="1"/>
  <c r="L228" i="1"/>
  <c r="F6" i="13"/>
  <c r="G6" i="13"/>
  <c r="L194" i="1"/>
  <c r="L212" i="1"/>
  <c r="F7" i="13"/>
  <c r="G7" i="13"/>
  <c r="L195" i="1"/>
  <c r="D7" i="13" s="1"/>
  <c r="C7" i="13" s="1"/>
  <c r="L213" i="1"/>
  <c r="F12" i="13"/>
  <c r="G12" i="13"/>
  <c r="L197" i="1"/>
  <c r="D12" i="13" s="1"/>
  <c r="C12" i="13" s="1"/>
  <c r="L215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F17" i="13"/>
  <c r="G17" i="13"/>
  <c r="L243" i="1"/>
  <c r="C24" i="10" s="1"/>
  <c r="F18" i="13"/>
  <c r="G18" i="13"/>
  <c r="D18" i="13" s="1"/>
  <c r="C18" i="13" s="1"/>
  <c r="L244" i="1"/>
  <c r="F19" i="13"/>
  <c r="D19" i="13" s="1"/>
  <c r="C19" i="13" s="1"/>
  <c r="G19" i="13"/>
  <c r="L245" i="1"/>
  <c r="G29" i="13"/>
  <c r="L350" i="1"/>
  <c r="D29" i="13" s="1"/>
  <c r="C29" i="13" s="1"/>
  <c r="L351" i="1"/>
  <c r="G651" i="1" s="1"/>
  <c r="I359" i="1"/>
  <c r="I361" i="1" s="1"/>
  <c r="H624" i="1" s="1"/>
  <c r="J282" i="1"/>
  <c r="F31" i="13" s="1"/>
  <c r="J301" i="1"/>
  <c r="J320" i="1"/>
  <c r="K282" i="1"/>
  <c r="K301" i="1"/>
  <c r="K320" i="1"/>
  <c r="G31" i="13"/>
  <c r="L268" i="1"/>
  <c r="L269" i="1"/>
  <c r="L270" i="1"/>
  <c r="L271" i="1"/>
  <c r="L273" i="1"/>
  <c r="L274" i="1"/>
  <c r="L275" i="1"/>
  <c r="L276" i="1"/>
  <c r="L277" i="1"/>
  <c r="L278" i="1"/>
  <c r="L279" i="1"/>
  <c r="E116" i="2" s="1"/>
  <c r="L280" i="1"/>
  <c r="E117" i="2" s="1"/>
  <c r="L288" i="1"/>
  <c r="L289" i="1"/>
  <c r="L290" i="1"/>
  <c r="L292" i="1"/>
  <c r="L293" i="1"/>
  <c r="L294" i="1"/>
  <c r="L295" i="1"/>
  <c r="L296" i="1"/>
  <c r="L297" i="1"/>
  <c r="E115" i="2" s="1"/>
  <c r="L298" i="1"/>
  <c r="G652" i="1" s="1"/>
  <c r="L299" i="1"/>
  <c r="L307" i="1"/>
  <c r="L308" i="1"/>
  <c r="L309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H25" i="13" s="1"/>
  <c r="L253" i="1"/>
  <c r="C124" i="2" s="1"/>
  <c r="L333" i="1"/>
  <c r="E123" i="2" s="1"/>
  <c r="L334" i="1"/>
  <c r="L247" i="1"/>
  <c r="C29" i="10" s="1"/>
  <c r="L328" i="1"/>
  <c r="E122" i="2" s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13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1" i="2"/>
  <c r="G54" i="2" s="1"/>
  <c r="G53" i="2"/>
  <c r="F2" i="11"/>
  <c r="L603" i="1"/>
  <c r="H653" i="1"/>
  <c r="L602" i="1"/>
  <c r="G653" i="1" s="1"/>
  <c r="L601" i="1"/>
  <c r="F653" i="1" s="1"/>
  <c r="C40" i="10"/>
  <c r="F52" i="1"/>
  <c r="F104" i="1" s="1"/>
  <c r="G52" i="1"/>
  <c r="H52" i="1"/>
  <c r="I52" i="1"/>
  <c r="F71" i="1"/>
  <c r="C49" i="2" s="1"/>
  <c r="F86" i="1"/>
  <c r="C50" i="2" s="1"/>
  <c r="F103" i="1"/>
  <c r="G103" i="1"/>
  <c r="G104" i="1" s="1"/>
  <c r="H71" i="1"/>
  <c r="H104" i="1" s="1"/>
  <c r="H86" i="1"/>
  <c r="E50" i="2" s="1"/>
  <c r="H103" i="1"/>
  <c r="I103" i="1"/>
  <c r="I104" i="1"/>
  <c r="J103" i="1"/>
  <c r="J104" i="1"/>
  <c r="C37" i="10"/>
  <c r="F113" i="1"/>
  <c r="F128" i="1"/>
  <c r="F132" i="1"/>
  <c r="G113" i="1"/>
  <c r="G132" i="1" s="1"/>
  <c r="C38" i="10" s="1"/>
  <c r="G128" i="1"/>
  <c r="H113" i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F77" i="2" s="1"/>
  <c r="F83" i="2" s="1"/>
  <c r="I154" i="1"/>
  <c r="I161" i="1"/>
  <c r="C19" i="10"/>
  <c r="L242" i="1"/>
  <c r="L324" i="1"/>
  <c r="E105" i="2" s="1"/>
  <c r="C23" i="10"/>
  <c r="L246" i="1"/>
  <c r="L260" i="1"/>
  <c r="L261" i="1"/>
  <c r="L341" i="1"/>
  <c r="E134" i="2" s="1"/>
  <c r="L342" i="1"/>
  <c r="E135" i="2" s="1"/>
  <c r="I655" i="1"/>
  <c r="I660" i="1"/>
  <c r="I659" i="1"/>
  <c r="C42" i="10"/>
  <c r="L366" i="1"/>
  <c r="L367" i="1"/>
  <c r="L368" i="1"/>
  <c r="L369" i="1"/>
  <c r="L370" i="1"/>
  <c r="F122" i="2" s="1"/>
  <c r="F136" i="2" s="1"/>
  <c r="L371" i="1"/>
  <c r="L372" i="1"/>
  <c r="B2" i="10"/>
  <c r="L336" i="1"/>
  <c r="L337" i="1"/>
  <c r="E127" i="2" s="1"/>
  <c r="L338" i="1"/>
  <c r="L339" i="1"/>
  <c r="K343" i="1"/>
  <c r="L511" i="1"/>
  <c r="F539" i="1"/>
  <c r="L512" i="1"/>
  <c r="F540" i="1"/>
  <c r="L513" i="1"/>
  <c r="F541" i="1" s="1"/>
  <c r="K541" i="1" s="1"/>
  <c r="L516" i="1"/>
  <c r="G539" i="1"/>
  <c r="L517" i="1"/>
  <c r="L519" i="1" s="1"/>
  <c r="L518" i="1"/>
  <c r="G541" i="1"/>
  <c r="L521" i="1"/>
  <c r="H539" i="1"/>
  <c r="L522" i="1"/>
  <c r="H540" i="1" s="1"/>
  <c r="H542" i="1" s="1"/>
  <c r="L523" i="1"/>
  <c r="H541" i="1" s="1"/>
  <c r="L526" i="1"/>
  <c r="I539" i="1" s="1"/>
  <c r="I542" i="1" s="1"/>
  <c r="L527" i="1"/>
  <c r="I540" i="1"/>
  <c r="L528" i="1"/>
  <c r="I541" i="1"/>
  <c r="L531" i="1"/>
  <c r="J539" i="1" s="1"/>
  <c r="J542" i="1" s="1"/>
  <c r="L532" i="1"/>
  <c r="J540" i="1" s="1"/>
  <c r="L533" i="1"/>
  <c r="L534" i="1" s="1"/>
  <c r="J541" i="1"/>
  <c r="E124" i="2"/>
  <c r="K262" i="1"/>
  <c r="J262" i="1"/>
  <c r="I262" i="1"/>
  <c r="H262" i="1"/>
  <c r="G262" i="1"/>
  <c r="F262" i="1"/>
  <c r="L262" i="1" s="1"/>
  <c r="A1" i="2"/>
  <c r="A2" i="2"/>
  <c r="C9" i="2"/>
  <c r="D9" i="2"/>
  <c r="E9" i="2"/>
  <c r="F9" i="2"/>
  <c r="I431" i="1"/>
  <c r="J9" i="1"/>
  <c r="G9" i="2"/>
  <c r="C10" i="2"/>
  <c r="D10" i="2"/>
  <c r="E10" i="2"/>
  <c r="F10" i="2"/>
  <c r="I432" i="1"/>
  <c r="J10" i="1"/>
  <c r="G10" i="2" s="1"/>
  <c r="C11" i="2"/>
  <c r="C12" i="2"/>
  <c r="D12" i="2"/>
  <c r="E12" i="2"/>
  <c r="E19" i="2" s="1"/>
  <c r="F12" i="2"/>
  <c r="F19" i="2" s="1"/>
  <c r="I433" i="1"/>
  <c r="J12" i="1" s="1"/>
  <c r="G12" i="2" s="1"/>
  <c r="C13" i="2"/>
  <c r="E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D32" i="2" s="1"/>
  <c r="E23" i="2"/>
  <c r="E32" i="2" s="1"/>
  <c r="F23" i="2"/>
  <c r="F32" i="2" s="1"/>
  <c r="I441" i="1"/>
  <c r="I444" i="1" s="1"/>
  <c r="I451" i="1" s="1"/>
  <c r="H632" i="1" s="1"/>
  <c r="J24" i="1"/>
  <c r="G23" i="2" s="1"/>
  <c r="C24" i="2"/>
  <c r="D24" i="2"/>
  <c r="E24" i="2"/>
  <c r="F24" i="2"/>
  <c r="I442" i="1"/>
  <c r="J25" i="1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D42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C37" i="2"/>
  <c r="D37" i="2"/>
  <c r="E37" i="2"/>
  <c r="F37" i="2"/>
  <c r="I447" i="1"/>
  <c r="J38" i="1" s="1"/>
  <c r="G37" i="2" s="1"/>
  <c r="C38" i="2"/>
  <c r="D38" i="2"/>
  <c r="E38" i="2"/>
  <c r="F38" i="2"/>
  <c r="F42" i="2" s="1"/>
  <c r="F43" i="2" s="1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F48" i="2"/>
  <c r="E49" i="2"/>
  <c r="C51" i="2"/>
  <c r="D51" i="2"/>
  <c r="E51" i="2"/>
  <c r="F51" i="2"/>
  <c r="F54" i="2" s="1"/>
  <c r="F55" i="2" s="1"/>
  <c r="F96" i="2" s="1"/>
  <c r="D52" i="2"/>
  <c r="D54" i="2" s="1"/>
  <c r="D55" i="2" s="1"/>
  <c r="D96" i="2" s="1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C64" i="2"/>
  <c r="F64" i="2"/>
  <c r="F70" i="2" s="1"/>
  <c r="F73" i="2" s="1"/>
  <c r="C65" i="2"/>
  <c r="F65" i="2"/>
  <c r="C66" i="2"/>
  <c r="C70" i="2" s="1"/>
  <c r="C73" i="2" s="1"/>
  <c r="C67" i="2"/>
  <c r="C68" i="2"/>
  <c r="E68" i="2"/>
  <c r="F68" i="2"/>
  <c r="C69" i="2"/>
  <c r="D69" i="2"/>
  <c r="D70" i="2" s="1"/>
  <c r="D73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F95" i="2" s="1"/>
  <c r="C86" i="2"/>
  <c r="F86" i="2"/>
  <c r="D88" i="2"/>
  <c r="E88" i="2"/>
  <c r="F88" i="2"/>
  <c r="G88" i="2"/>
  <c r="C89" i="2"/>
  <c r="D89" i="2"/>
  <c r="D95" i="2" s="1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G95" i="2"/>
  <c r="E102" i="2"/>
  <c r="E103" i="2"/>
  <c r="C104" i="2"/>
  <c r="E104" i="2"/>
  <c r="C105" i="2"/>
  <c r="D107" i="2"/>
  <c r="F107" i="2"/>
  <c r="G107" i="2"/>
  <c r="E111" i="2"/>
  <c r="E112" i="2"/>
  <c r="E113" i="2"/>
  <c r="E114" i="2"/>
  <c r="C117" i="2"/>
  <c r="F120" i="2"/>
  <c r="G120" i="2"/>
  <c r="G137" i="2" s="1"/>
  <c r="C122" i="2"/>
  <c r="D126" i="2"/>
  <c r="E126" i="2"/>
  <c r="F126" i="2"/>
  <c r="K411" i="1"/>
  <c r="K426" i="1" s="1"/>
  <c r="G126" i="2" s="1"/>
  <c r="G136" i="2" s="1"/>
  <c r="K419" i="1"/>
  <c r="K425" i="1"/>
  <c r="L255" i="1"/>
  <c r="C127" i="2" s="1"/>
  <c r="L256" i="1"/>
  <c r="C128" i="2" s="1"/>
  <c r="L257" i="1"/>
  <c r="C129" i="2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K493" i="1" s="1"/>
  <c r="H493" i="1"/>
  <c r="D156" i="2"/>
  <c r="I493" i="1"/>
  <c r="E156" i="2"/>
  <c r="J493" i="1"/>
  <c r="F156" i="2" s="1"/>
  <c r="F19" i="1"/>
  <c r="H19" i="1"/>
  <c r="I19" i="1"/>
  <c r="G610" i="1" s="1"/>
  <c r="J610" i="1" s="1"/>
  <c r="F33" i="1"/>
  <c r="G33" i="1"/>
  <c r="H33" i="1"/>
  <c r="I33" i="1"/>
  <c r="F43" i="1"/>
  <c r="F44" i="1" s="1"/>
  <c r="H607" i="1" s="1"/>
  <c r="G43" i="1"/>
  <c r="G44" i="1" s="1"/>
  <c r="H608" i="1" s="1"/>
  <c r="H43" i="1"/>
  <c r="H44" i="1" s="1"/>
  <c r="H609" i="1" s="1"/>
  <c r="I43" i="1"/>
  <c r="I44" i="1" s="1"/>
  <c r="H610" i="1" s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F203" i="1"/>
  <c r="G203" i="1"/>
  <c r="H203" i="1"/>
  <c r="I203" i="1"/>
  <c r="J203" i="1"/>
  <c r="J249" i="1" s="1"/>
  <c r="K203" i="1"/>
  <c r="F221" i="1"/>
  <c r="G221" i="1"/>
  <c r="H221" i="1"/>
  <c r="J221" i="1"/>
  <c r="F239" i="1"/>
  <c r="J239" i="1"/>
  <c r="K239" i="1"/>
  <c r="F248" i="1"/>
  <c r="L248" i="1" s="1"/>
  <c r="G248" i="1"/>
  <c r="H248" i="1"/>
  <c r="I248" i="1"/>
  <c r="J248" i="1"/>
  <c r="K248" i="1"/>
  <c r="F249" i="1"/>
  <c r="F282" i="1"/>
  <c r="G282" i="1"/>
  <c r="G330" i="1" s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G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H399" i="1"/>
  <c r="I399" i="1"/>
  <c r="H400" i="1"/>
  <c r="H634" i="1" s="1"/>
  <c r="J634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J426" i="1"/>
  <c r="F438" i="1"/>
  <c r="G438" i="1"/>
  <c r="H438" i="1"/>
  <c r="F444" i="1"/>
  <c r="G444" i="1"/>
  <c r="G451" i="1" s="1"/>
  <c r="H630" i="1" s="1"/>
  <c r="J630" i="1" s="1"/>
  <c r="H444" i="1"/>
  <c r="F450" i="1"/>
  <c r="G450" i="1"/>
  <c r="H450" i="1"/>
  <c r="H451" i="1" s="1"/>
  <c r="H631" i="1" s="1"/>
  <c r="I450" i="1"/>
  <c r="F451" i="1"/>
  <c r="F460" i="1"/>
  <c r="F466" i="1" s="1"/>
  <c r="H612" i="1" s="1"/>
  <c r="G460" i="1"/>
  <c r="I460" i="1"/>
  <c r="J460" i="1"/>
  <c r="J466" i="1" s="1"/>
  <c r="H616" i="1" s="1"/>
  <c r="F464" i="1"/>
  <c r="H464" i="1"/>
  <c r="I464" i="1"/>
  <c r="I466" i="1" s="1"/>
  <c r="H615" i="1" s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K514" i="1"/>
  <c r="L514" i="1"/>
  <c r="L535" i="1" s="1"/>
  <c r="F519" i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J535" i="1"/>
  <c r="K535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5" i="1"/>
  <c r="K586" i="1"/>
  <c r="K587" i="1"/>
  <c r="H588" i="1"/>
  <c r="H639" i="1" s="1"/>
  <c r="I588" i="1"/>
  <c r="H640" i="1" s="1"/>
  <c r="J640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9" i="1"/>
  <c r="J609" i="1" s="1"/>
  <c r="G613" i="1"/>
  <c r="G614" i="1"/>
  <c r="G615" i="1"/>
  <c r="J615" i="1" s="1"/>
  <c r="H617" i="1"/>
  <c r="H618" i="1"/>
  <c r="H620" i="1"/>
  <c r="H621" i="1"/>
  <c r="H622" i="1"/>
  <c r="H626" i="1"/>
  <c r="H627" i="1"/>
  <c r="H628" i="1"/>
  <c r="G629" i="1"/>
  <c r="J629" i="1" s="1"/>
  <c r="H629" i="1"/>
  <c r="G630" i="1"/>
  <c r="G631" i="1"/>
  <c r="J631" i="1" s="1"/>
  <c r="G633" i="1"/>
  <c r="G634" i="1"/>
  <c r="G635" i="1"/>
  <c r="G639" i="1"/>
  <c r="G640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C116" i="2" l="1"/>
  <c r="H652" i="1"/>
  <c r="G641" i="1"/>
  <c r="J641" i="1" s="1"/>
  <c r="H637" i="1"/>
  <c r="G657" i="1"/>
  <c r="G662" i="1"/>
  <c r="C5" i="10" s="1"/>
  <c r="G24" i="2"/>
  <c r="G32" i="2" s="1"/>
  <c r="J33" i="1"/>
  <c r="G185" i="1"/>
  <c r="G618" i="1" s="1"/>
  <c r="J618" i="1" s="1"/>
  <c r="G153" i="2"/>
  <c r="G19" i="2"/>
  <c r="H33" i="13"/>
  <c r="C25" i="13"/>
  <c r="E101" i="2"/>
  <c r="E107" i="2" s="1"/>
  <c r="J608" i="1"/>
  <c r="J19" i="1"/>
  <c r="G611" i="1" s="1"/>
  <c r="K539" i="1"/>
  <c r="C54" i="2"/>
  <c r="J638" i="1"/>
  <c r="J639" i="1"/>
  <c r="C39" i="10"/>
  <c r="G55" i="2"/>
  <c r="G96" i="2" s="1"/>
  <c r="J635" i="1"/>
  <c r="F137" i="2"/>
  <c r="E54" i="2"/>
  <c r="E55" i="2" s="1"/>
  <c r="J185" i="1"/>
  <c r="C15" i="10"/>
  <c r="L426" i="1"/>
  <c r="G628" i="1" s="1"/>
  <c r="J628" i="1" s="1"/>
  <c r="D137" i="2"/>
  <c r="E43" i="2"/>
  <c r="J633" i="1"/>
  <c r="L561" i="1"/>
  <c r="J43" i="1"/>
  <c r="D43" i="2"/>
  <c r="F185" i="1"/>
  <c r="G617" i="1" s="1"/>
  <c r="J617" i="1" s="1"/>
  <c r="L203" i="1"/>
  <c r="C43" i="2"/>
  <c r="C55" i="2"/>
  <c r="C96" i="2" s="1"/>
  <c r="I653" i="1"/>
  <c r="E136" i="2"/>
  <c r="C5" i="13"/>
  <c r="G466" i="1"/>
  <c r="H613" i="1" s="1"/>
  <c r="J613" i="1" s="1"/>
  <c r="H638" i="1"/>
  <c r="J263" i="1"/>
  <c r="G542" i="1"/>
  <c r="H185" i="1"/>
  <c r="G619" i="1" s="1"/>
  <c r="L400" i="1"/>
  <c r="C130" i="2"/>
  <c r="C133" i="2" s="1"/>
  <c r="L239" i="1"/>
  <c r="H650" i="1" s="1"/>
  <c r="H654" i="1" s="1"/>
  <c r="H625" i="1"/>
  <c r="C115" i="2"/>
  <c r="G36" i="2"/>
  <c r="G42" i="2" s="1"/>
  <c r="G540" i="1"/>
  <c r="K540" i="1" s="1"/>
  <c r="C26" i="10"/>
  <c r="C20" i="10"/>
  <c r="L282" i="1"/>
  <c r="D17" i="13"/>
  <c r="C17" i="13" s="1"/>
  <c r="C102" i="2"/>
  <c r="C114" i="2"/>
  <c r="C101" i="2"/>
  <c r="C35" i="10"/>
  <c r="G612" i="1"/>
  <c r="J612" i="1" s="1"/>
  <c r="G239" i="1"/>
  <c r="G249" i="1" s="1"/>
  <c r="G263" i="1" s="1"/>
  <c r="C113" i="2"/>
  <c r="E77" i="2"/>
  <c r="E83" i="2" s="1"/>
  <c r="F542" i="1"/>
  <c r="L343" i="1"/>
  <c r="F652" i="1"/>
  <c r="C16" i="10"/>
  <c r="D15" i="13"/>
  <c r="C15" i="13" s="1"/>
  <c r="D6" i="13"/>
  <c r="C6" i="13" s="1"/>
  <c r="J607" i="1"/>
  <c r="F320" i="1"/>
  <c r="F330" i="1" s="1"/>
  <c r="F344" i="1" s="1"/>
  <c r="C106" i="2"/>
  <c r="C25" i="10"/>
  <c r="H619" i="1"/>
  <c r="K221" i="1"/>
  <c r="K249" i="1" s="1"/>
  <c r="K263" i="1" s="1"/>
  <c r="C156" i="2"/>
  <c r="G156" i="2" s="1"/>
  <c r="D119" i="2"/>
  <c r="D120" i="2" s="1"/>
  <c r="F22" i="13"/>
  <c r="C22" i="13" s="1"/>
  <c r="K582" i="1"/>
  <c r="K588" i="1" s="1"/>
  <c r="G637" i="1" s="1"/>
  <c r="J637" i="1" s="1"/>
  <c r="C32" i="10"/>
  <c r="L196" i="1"/>
  <c r="L604" i="1"/>
  <c r="F263" i="1"/>
  <c r="C111" i="2"/>
  <c r="D13" i="2"/>
  <c r="D19" i="2" s="1"/>
  <c r="F651" i="1"/>
  <c r="I651" i="1" s="1"/>
  <c r="B9" i="12"/>
  <c r="A13" i="12" s="1"/>
  <c r="L354" i="1"/>
  <c r="I438" i="1"/>
  <c r="G632" i="1" s="1"/>
  <c r="J632" i="1" s="1"/>
  <c r="C10" i="10"/>
  <c r="L374" i="1"/>
  <c r="G626" i="1" s="1"/>
  <c r="J626" i="1" s="1"/>
  <c r="C123" i="2"/>
  <c r="C136" i="2" s="1"/>
  <c r="C120" i="2" l="1"/>
  <c r="C112" i="2"/>
  <c r="E8" i="13"/>
  <c r="C17" i="10"/>
  <c r="C107" i="2"/>
  <c r="C137" i="2" s="1"/>
  <c r="E96" i="2"/>
  <c r="K542" i="1"/>
  <c r="G621" i="1"/>
  <c r="J621" i="1" s="1"/>
  <c r="G636" i="1"/>
  <c r="J636" i="1" s="1"/>
  <c r="G627" i="1"/>
  <c r="J627" i="1" s="1"/>
  <c r="H636" i="1"/>
  <c r="J611" i="1"/>
  <c r="J619" i="1"/>
  <c r="G616" i="1"/>
  <c r="J616" i="1" s="1"/>
  <c r="J44" i="1"/>
  <c r="H611" i="1" s="1"/>
  <c r="H662" i="1"/>
  <c r="C6" i="10" s="1"/>
  <c r="H657" i="1"/>
  <c r="C36" i="10"/>
  <c r="I652" i="1"/>
  <c r="D31" i="13"/>
  <c r="L330" i="1"/>
  <c r="L344" i="1" s="1"/>
  <c r="G623" i="1" s="1"/>
  <c r="J623" i="1" s="1"/>
  <c r="E137" i="2"/>
  <c r="C27" i="10"/>
  <c r="C28" i="10" s="1"/>
  <c r="G625" i="1"/>
  <c r="J625" i="1" s="1"/>
  <c r="L249" i="1"/>
  <c r="L263" i="1" s="1"/>
  <c r="G622" i="1" s="1"/>
  <c r="J622" i="1" s="1"/>
  <c r="F650" i="1"/>
  <c r="F33" i="13"/>
  <c r="G43" i="2"/>
  <c r="C30" i="10" l="1"/>
  <c r="D22" i="10"/>
  <c r="D24" i="10"/>
  <c r="D19" i="10"/>
  <c r="D11" i="10"/>
  <c r="D13" i="10"/>
  <c r="D21" i="10"/>
  <c r="D18" i="10"/>
  <c r="D12" i="10"/>
  <c r="D23" i="10"/>
  <c r="D25" i="10"/>
  <c r="D15" i="10"/>
  <c r="D20" i="10"/>
  <c r="D10" i="10"/>
  <c r="D26" i="10"/>
  <c r="D16" i="10"/>
  <c r="D27" i="10"/>
  <c r="D17" i="10"/>
  <c r="C8" i="13"/>
  <c r="E33" i="13"/>
  <c r="D35" i="13" s="1"/>
  <c r="C31" i="13"/>
  <c r="D33" i="13"/>
  <c r="D36" i="13" s="1"/>
  <c r="I650" i="1"/>
  <c r="I654" i="1" s="1"/>
  <c r="F654" i="1"/>
  <c r="C41" i="10"/>
  <c r="D36" i="10" s="1"/>
  <c r="H646" i="1"/>
  <c r="I662" i="1" l="1"/>
  <c r="C7" i="10" s="1"/>
  <c r="I657" i="1"/>
  <c r="D28" i="10"/>
  <c r="D37" i="10"/>
  <c r="D38" i="10"/>
  <c r="D40" i="10"/>
  <c r="D35" i="10"/>
  <c r="D39" i="10"/>
  <c r="F662" i="1"/>
  <c r="C4" i="10" s="1"/>
  <c r="F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59D4FF2-16B6-4C97-8C5A-8026A7EDDF4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FFA225E-E5AA-4766-9B3C-878892C466F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B4F2D70-C3B6-47B0-9C5D-2FA20897724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27B793C-CAAC-4B51-8B3B-3ACD2CDB298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80BB0603-27B1-4873-8366-7AD20E35FE5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64C7686-36DC-4D8E-94AB-950497F293D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B9439C9-AC12-4EE7-9242-2A03DE1A3DD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C7FD1EC-410E-4D77-A4B9-4FEC41B1C89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CD47B85-EC40-447D-A5A5-3B2C373D5F53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A9E0470-AAB9-4361-A721-ACE2EA149EA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5868F33-13D6-41C2-995C-DC89289D34F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770EC4C-E77A-467F-B788-181BF2FA565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<sst xmlns="http://schemas.openxmlformats.org/spreadsheetml/2006/main" count="3858" uniqueCount="895">
  <si>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</si>
  <si>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</si>
  <si>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</si>
  <si>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</si>
  <si>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</si>
  <si>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</si>
  <si>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</si>
  <si>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</si>
  <si>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</si>
  <si>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</si>
  <si>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</si>
  <si>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</si>
  <si>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</si>
  <si>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</si>
  <si>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</si>
  <si>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</si>
  <si>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</si>
  <si>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</si>
  <si>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</si>
  <si>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</si>
  <si>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</si>
  <si>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</si>
  <si>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</si>
  <si>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</si>
  <si>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</si>
  <si>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</si>
  <si>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</si>
  <si>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</si>
  <si>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</si>
  <si>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</si>
  <si>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</si>
  <si>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</si>
  <si>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</si>
  <si>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</si>
  <si>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</si>
  <si>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</si>
  <si>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</si>
  <si>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</si>
  <si>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</si>
  <si>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</si>
  <si>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</si>
  <si>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</si>
  <si>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</si>
  <si>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</si>
  <si>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</si>
  <si>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</si>
  <si>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</si>
  <si>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</si>
  <si>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</si>
  <si>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</si>
  <si>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</si>
  <si>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</si>
  <si>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</si>
  <si>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</si>
  <si>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</si>
  <si>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</si>
  <si>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</si>
  <si>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</si>
  <si>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</si>
  <si>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</si>
  <si>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</si>
  <si>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</si>
  <si>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</si>
  <si>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</si>
  <si>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</si>
  <si>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</si>
  <si>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</si>
  <si>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</si>
  <si>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</si>
  <si>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</si>
  <si>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</si>
  <si>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</si>
  <si>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</si>
  <si>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</si>
  <si>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</si>
  <si>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</si>
  <si>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</si>
  <si>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</si>
  <si>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</si>
  <si>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</si>
  <si>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</si>
  <si>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</si>
  <si>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</si>
  <si>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</si>
  <si>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</si>
  <si>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</si>
  <si>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</si>
  <si>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</si>
  <si>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</si>
  <si>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</si>
  <si>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</si>
  <si>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</si>
  <si>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</si>
  <si>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</si>
  <si>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</si>
  <si>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</si>
  <si>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</si>
  <si>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</si>
  <si>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</si>
  <si>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</si>
  <si>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</si>
  <si>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</si>
  <si>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</si>
  <si>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</si>
  <si>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</si>
  <si>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</si>
  <si>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</si>
  <si>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</si>
  <si>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</si>
  <si>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</si>
  <si>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</si>
  <si>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</si>
  <si>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</si>
  <si>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</si>
  <si>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</si>
  <si>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</si>
  <si>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</si>
  <si>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</si>
  <si>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</si>
  <si>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</si>
  <si>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</si>
  <si>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</si>
  <si>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</si>
  <si>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</si>
  <si>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</si>
  <si>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</si>
  <si>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</si>
  <si>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</si>
  <si>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</si>
  <si>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</si>
  <si>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</si>
  <si>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</si>
  <si>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</si>
  <si>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</si>
  <si>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</si>
  <si>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</si>
  <si>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</si>
  <si>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</si>
  <si>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</si>
  <si>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</si>
  <si>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</si>
  <si>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</si>
  <si>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</si>
  <si>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</si>
  <si>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</si>
  <si>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</si>
  <si>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</si>
  <si>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</si>
  <si>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</si>
  <si>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</si>
  <si>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</si>
  <si>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</si>
  <si>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</si>
  <si>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</si>
  <si>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</si>
  <si>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</si>
  <si>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</si>
  <si>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</si>
  <si>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</si>
  <si>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</si>
  <si>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</si>
  <si>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</si>
  <si>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</si>
  <si>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</si>
  <si>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</si>
  <si>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</si>
  <si>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</si>
  <si>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</si>
  <si>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</si>
  <si>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</si>
  <si>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</si>
  <si>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</si>
  <si>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</si>
  <si>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</si>
  <si>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</si>
  <si>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</si>
  <si>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</si>
  <si>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</si>
  <si>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</si>
  <si>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</si>
  <si>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</si>
  <si>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</si>
  <si>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</si>
  <si>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</si>
  <si>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</si>
  <si>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</si>
  <si>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</si>
  <si>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</si>
  <si>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</si>
  <si>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</si>
  <si>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</si>
  <si>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</si>
  <si>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</si>
  <si>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</si>
  <si>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</si>
  <si>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</si>
  <si>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</si>
  <si>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</si>
  <si>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</si>
  <si>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</si>
  <si>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</si>
  <si>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</si>
  <si>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</si>
  <si>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</si>
  <si>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</si>
  <si>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</si>
  <si>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</si>
  <si>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</si>
  <si>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</si>
  <si>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</si>
  <si>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</si>
  <si>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</si>
  <si>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</si>
  <si>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</si>
  <si>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</si>
  <si>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</si>
  <si>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</si>
  <si>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</si>
  <si>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</si>
  <si>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</si>
  <si>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</si>
  <si>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</si>
  <si>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</si>
  <si>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</si>
  <si>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</si>
  <si>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</si>
  <si>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</si>
  <si>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</si>
  <si>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</si>
  <si>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</si>
  <si>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</si>
  <si>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</si>
  <si>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</si>
  <si>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</si>
  <si>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</si>
  <si>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</si>
  <si>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</si>
  <si>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</si>
  <si>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</si>
  <si>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</si>
  <si>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</si>
  <si>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</si>
  <si>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</si>
  <si>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</si>
  <si>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</si>
  <si>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</si>
  <si>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</si>
  <si>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</si>
  <si>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</si>
  <si>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</si>
  <si>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</si>
  <si>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</si>
  <si>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</si>
  <si>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</si>
  <si>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</si>
  <si>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</si>
  <si>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</si>
  <si>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</si>
  <si>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</si>
  <si>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</si>
  <si>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</si>
  <si>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</si>
  <si>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</si>
  <si>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</si>
  <si>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</si>
  <si>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</si>
  <si>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</si>
  <si>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</si>
  <si>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</si>
  <si>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</si>
  <si>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</si>
  <si>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</si>
  <si>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</si>
  <si>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</si>
  <si>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</si>
  <si>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</si>
  <si>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</si>
  <si>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</si>
  <si>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</si>
  <si>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</si>
  <si>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</si>
  <si>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</si>
  <si>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</si>
  <si>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</si>
  <si>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</si>
  <si>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</si>
  <si>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</si>
  <si>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</si>
  <si>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</si>
  <si>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</si>
  <si>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</si>
  <si>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</si>
  <si>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</si>
  <si>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</si>
  <si>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</si>
  <si>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</si>
  <si>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</si>
  <si>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</si>
  <si>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</si>
  <si>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</si>
  <si>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</si>
  <si>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</si>
  <si>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</si>
  <si>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</si>
  <si>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</si>
  <si>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</si>
  <si>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</si>
  <si>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</si>
  <si>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</si>
  <si>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</si>
  <si>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</si>
  <si>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</si>
  <si>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</si>
  <si>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</si>
  <si>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</si>
  <si>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</si>
  <si>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</si>
  <si>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</si>
  <si>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</si>
  <si>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</si>
  <si>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</si>
  <si>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</si>
  <si>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</si>
  <si>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</si>
  <si>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</si>
  <si>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</si>
  <si>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</si>
  <si>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</si>
  <si>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</si>
  <si>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</si>
  <si>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</si>
  <si>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</si>
  <si>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</si>
  <si>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</si>
  <si>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</si>
  <si>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</si>
  <si>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</si>
  <si>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</si>
  <si>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</si>
  <si>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</si>
  <si>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</si>
  <si>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</si>
  <si>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</si>
  <si>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</si>
  <si>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</si>
  <si>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</si>
  <si>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</si>
  <si>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</si>
  <si>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</si>
  <si>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</si>
  <si>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</si>
  <si>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</si>
  <si>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</si>
  <si>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</si>
  <si>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</si>
  <si>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</si>
  <si>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</si>
  <si>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</si>
  <si>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</si>
  <si>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</si>
  <si>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</si>
  <si>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</si>
  <si>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</si>
  <si>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</si>
  <si>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</si>
  <si>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</si>
  <si>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</si>
  <si>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</si>
  <si>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</si>
  <si>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</si>
  <si>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</si>
  <si>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</si>
  <si>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</si>
  <si>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</si>
  <si>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</si>
  <si>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</si>
  <si>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</si>
  <si>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</si>
  <si>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</si>
  <si>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</si>
  <si>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</si>
  <si>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</si>
  <si>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</si>
  <si>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</si>
  <si>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</si>
  <si>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</si>
  <si>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</si>
  <si>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</si>
  <si>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</si>
  <si>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</si>
  <si>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</si>
  <si>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</si>
  <si>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</si>
  <si>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</si>
  <si>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</si>
  <si>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</si>
  <si>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</si>
  <si>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</si>
  <si>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</si>
  <si>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</si>
  <si>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</si>
  <si>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</si>
  <si>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</si>
  <si>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</si>
  <si>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</si>
  <si>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</si>
  <si>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</si>
  <si>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</si>
  <si>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</si>
  <si>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</si>
  <si>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</si>
  <si>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</si>
  <si>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</si>
  <si>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</si>
  <si>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</si>
  <si>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</si>
  <si>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</si>
  <si>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</si>
  <si>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</si>
  <si>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</si>
  <si>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</si>
  <si>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</si>
  <si>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</si>
  <si>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</si>
  <si>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</si>
  <si>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</si>
  <si>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</si>
  <si>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</si>
  <si>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</si>
  <si>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</si>
  <si>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</si>
  <si>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</si>
  <si>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</si>
  <si>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</si>
  <si>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</si>
  <si>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</si>
  <si>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</si>
  <si>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</si>
  <si>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</si>
  <si>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</si>
  <si>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</si>
  <si>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</si>
  <si>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</si>
  <si>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</si>
  <si>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</si>
  <si>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</si>
  <si>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</si>
  <si>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</si>
  <si>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</si>
  <si>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</si>
  <si>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</si>
  <si>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</si>
  <si>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</si>
  <si>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</si>
  <si>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</si>
  <si>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</si>
  <si>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</si>
  <si>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</si>
  <si>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</si>
  <si>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</si>
  <si>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</si>
  <si>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</si>
  <si>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</si>
  <si>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</si>
  <si>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</si>
  <si>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</si>
  <si>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</si>
  <si>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</si>
  <si>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</si>
  <si>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</si>
  <si>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</si>
  <si>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</si>
  <si>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</si>
  <si>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</si>
  <si>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</si>
  <si>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</si>
  <si>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</si>
  <si>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</si>
  <si>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</si>
  <si>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</si>
  <si>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</si>
  <si>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</si>
  <si>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</si>
  <si>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</si>
  <si>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</si>
  <si>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</si>
  <si>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</si>
  <si>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</si>
  <si>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</si>
  <si>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</si>
  <si>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</si>
  <si>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</si>
  <si>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</si>
  <si>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</si>
  <si>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</si>
  <si>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</si>
  <si>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</si>
  <si>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</si>
  <si>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</si>
  <si>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</si>
  <si>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</si>
  <si>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</si>
  <si>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</si>
  <si>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</si>
  <si>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</si>
  <si>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</si>
  <si>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</si>
  <si>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</si>
  <si>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</si>
  <si>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</si>
  <si>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</si>
  <si>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</si>
  <si>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</si>
  <si>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</si>
  <si>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</si>
  <si>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</si>
  <si>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</si>
  <si>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</si>
  <si>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</si>
  <si>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</si>
  <si>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</si>
  <si>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</si>
  <si>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</si>
  <si>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</si>
  <si>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</si>
  <si>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</si>
  <si>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</si>
  <si>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</si>
  <si>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</si>
  <si>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</si>
  <si>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</si>
  <si>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</si>
  <si>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</si>
  <si>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</si>
  <si>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</si>
  <si>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</si>
  <si>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</si>
  <si>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</si>
  <si>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</si>
  <si>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</si>
  <si>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</si>
  <si>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</si>
  <si>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</si>
  <si>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</si>
  <si>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</si>
  <si>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</si>
  <si>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</si>
  <si>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</si>
  <si>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</si>
  <si>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</si>
  <si>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</si>
  <si>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</si>
  <si>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</si>
  <si>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</si>
  <si>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</si>
  <si>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</si>
  <si>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</si>
  <si>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</si>
  <si>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</si>
  <si>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</si>
  <si>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</si>
  <si>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</si>
  <si>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</si>
  <si>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</si>
  <si>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</si>
  <si>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</si>
  <si>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</si>
  <si>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</si>
  <si>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</si>
  <si>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</si>
  <si>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</si>
  <si>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</si>
  <si>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</si>
  <si>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</si>
  <si>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</si>
  <si>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</si>
  <si>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</si>
  <si>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</si>
  <si>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</si>
  <si>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</si>
  <si>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</si>
  <si>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</si>
  <si>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</si>
  <si>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</si>
  <si>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</si>
  <si>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</si>
  <si>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</si>
  <si>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</si>
  <si>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</si>
  <si>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</si>
  <si>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</si>
  <si>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</si>
  <si>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</si>
  <si>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</si>
  <si>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</si>
  <si>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</si>
  <si>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</si>
  <si>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</si>
  <si>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</si>
  <si>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</si>
  <si>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</si>
  <si>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</si>
  <si>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</si>
  <si>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</si>
  <si>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</si>
  <si>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</si>
  <si>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</si>
  <si>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</si>
  <si>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</si>
  <si>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</si>
  <si>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</si>
  <si>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</si>
  <si>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</si>
  <si>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</si>
  <si>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</si>
  <si>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</si>
  <si>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</si>
  <si>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</si>
  <si>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</si>
  <si>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</si>
  <si>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</si>
  <si>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</si>
  <si>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</si>
  <si>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</si>
  <si>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</si>
  <si>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</si>
  <si>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</si>
  <si>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</si>
  <si>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</si>
  <si>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</si>
  <si>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</si>
  <si>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</si>
  <si>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</si>
  <si>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</si>
  <si>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</si>
  <si>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</si>
  <si>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</si>
  <si>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</si>
  <si>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</si>
  <si>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</si>
  <si>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</si>
  <si>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</si>
  <si>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</si>
  <si>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</si>
  <si>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</si>
  <si>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</si>
  <si>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</si>
  <si>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</si>
  <si>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</si>
  <si>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</si>
  <si>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</si>
  <si>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</si>
  <si>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</si>
  <si>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</si>
  <si>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</si>
  <si>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</si>
  <si>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</si>
  <si>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</si>
  <si>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</si>
  <si>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</si>
  <si>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</si>
  <si>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</si>
  <si>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</si>
  <si>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</si>
  <si>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</si>
  <si>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</si>
  <si>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</si>
  <si>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</si>
  <si>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</si>
  <si>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</si>
  <si>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</si>
  <si>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</si>
  <si>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</si>
  <si>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</si>
  <si>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</si>
  <si>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</si>
  <si>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</si>
  <si>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</si>
  <si>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</si>
  <si>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</si>
  <si>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</si>
  <si>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</si>
  <si>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</si>
  <si>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</si>
  <si>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</si>
  <si>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</si>
  <si>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</si>
  <si>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</si>
  <si>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</si>
  <si>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</si>
  <si>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</si>
  <si>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</si>
  <si>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</si>
  <si>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</si>
  <si>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</si>
  <si>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</si>
  <si>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</si>
  <si>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</si>
  <si>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</si>
  <si>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</si>
  <si>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</si>
  <si>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</si>
  <si>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</si>
  <si>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</si>
  <si>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</si>
  <si>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</si>
  <si>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</si>
  <si>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</si>
  <si>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</si>
  <si>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</si>
  <si>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</si>
  <si>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</si>
  <si>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</si>
  <si>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</si>
  <si>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</si>
  <si>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</si>
  <si>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</si>
  <si>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</si>
  <si>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</si>
  <si>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</si>
  <si>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</si>
  <si>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</si>
  <si>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</si>
  <si>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</si>
  <si>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</si>
  <si>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</si>
  <si>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</si>
  <si>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</si>
  <si>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</si>
  <si>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</si>
  <si>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</si>
  <si>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</si>
  <si>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</si>
  <si>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</si>
  <si>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</si>
  <si>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</si>
  <si>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</si>
  <si>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</si>
  <si>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</si>
  <si>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</si>
  <si>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</si>
  <si>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</si>
  <si>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</si>
  <si>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</si>
  <si>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</si>
  <si>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</si>
  <si>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</si>
  <si>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</si>
  <si>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</si>
  <si>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</si>
  <si>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</si>
  <si>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</si>
  <si>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</si>
  <si>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</si>
  <si>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</si>
  <si>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</si>
  <si>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</si>
  <si>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</si>
  <si>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</si>
  <si>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</si>
  <si>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</si>
  <si>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</si>
  <si>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</si>
  <si>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</si>
  <si>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</si>
  <si>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</si>
  <si>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</si>
  <si>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</si>
  <si>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</si>
  <si>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</si>
  <si>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</si>
  <si>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</si>
  <si>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</si>
  <si>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</si>
  <si>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</si>
  <si>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</si>
  <si>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</si>
  <si>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</si>
  <si>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</si>
  <si>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</si>
  <si>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</si>
  <si>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</si>
  <si>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</si>
  <si>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</si>
  <si>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</si>
  <si>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</si>
  <si>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</si>
  <si>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</si>
  <si>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</si>
  <si>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</si>
  <si>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</si>
  <si>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</si>
  <si>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</si>
  <si>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</si>
  <si>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</si>
  <si>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</si>
  <si>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</si>
  <si>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</si>
  <si>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</si>
  <si>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</si>
  <si>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</si>
  <si>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</si>
  <si>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</si>
  <si>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</si>
  <si>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</si>
  <si>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</si>
  <si>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</si>
  <si>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</si>
  <si>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</si>
  <si>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</si>
  <si>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</si>
  <si>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</si>
  <si>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</si>
  <si>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</si>
  <si>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</si>
  <si>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</si>
  <si>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</si>
  <si>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</si>
  <si>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</si>
  <si>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</si>
  <si>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</si>
  <si>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</si>
  <si>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</si>
  <si>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</si>
  <si>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</si>
  <si>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</si>
  <si>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</si>
  <si>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</si>
  <si>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</si>
  <si>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</si>
  <si>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</si>
  <si>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</si>
  <si>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</si>
  <si>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</si>
  <si>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</si>
  <si>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</si>
  <si>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</si>
  <si>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</si>
  <si>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</si>
  <si>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</si>
  <si>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</si>
  <si>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</si>
  <si>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</si>
  <si>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</si>
  <si>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</si>
  <si>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</si>
  <si>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</si>
  <si>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</si>
  <si>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</si>
  <si>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</si>
  <si>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</si>
  <si>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</si>
  <si>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</si>
  <si>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</si>
  <si>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</si>
  <si>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</si>
  <si>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</si>
  <si>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</si>
  <si>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</si>
  <si>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</si>
  <si>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</si>
  <si>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</si>
  <si>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</si>
  <si>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</si>
  <si>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</si>
  <si>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</si>
  <si>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</si>
  <si>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</si>
  <si>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</si>
  <si>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</si>
  <si>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</si>
  <si>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</si>
  <si>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</si>
  <si>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</si>
  <si>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</si>
  <si>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</si>
  <si>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</si>
  <si>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</si>
  <si>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</si>
  <si>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</si>
  <si>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</si>
  <si>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</si>
  <si>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</si>
  <si>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</si>
  <si>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</si>
  <si>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</si>
  <si>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</si>
  <si>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</si>
  <si>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</si>
  <si>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</si>
  <si>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</si>
  <si>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</si>
  <si>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</si>
  <si>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</si>
  <si>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LACONIA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</si>
</sst>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9D2A-3516-4C1B-85A0-DB9BA68910C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285</v>
      </c>
      <c r="C2" s="21">
        <v>285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200</v>
      </c>
      <c r="G9" s="18">
        <v>350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2078400.94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187736.76</v>
      </c>
      <c r="G13" s="18">
        <f>55962.56-0.03</f>
        <v>55962.53</v>
      </c>
      <c r="H13" s="18">
        <v>598974.47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12644.85</v>
      </c>
      <c r="G14" s="18">
        <v>909.45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30218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36813.269999999997</v>
      </c>
      <c r="G17" s="18"/>
      <c r="H17" s="18">
        <v>1179.3599999999999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2315795.8200000003</v>
      </c>
      <c r="G19" s="41">
        <f>SUM(G9:G18)</f>
        <v>87439.98</v>
      </c>
      <c r="H19" s="41">
        <f>SUM(H9:H18)</f>
        <v>600153.82999999996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-497834.79</v>
      </c>
      <c r="G23" s="18">
        <v>35645.480000000003</v>
      </c>
      <c r="H23" s="18">
        <v>462189.31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45081.86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1426930.36</v>
      </c>
      <c r="G25" s="18">
        <v>353.5</v>
      </c>
      <c r="H25" s="18">
        <v>24978.959999999999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1034187.65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6770.99</v>
      </c>
      <c r="G31" s="18"/>
      <c r="H31" s="18">
        <v>112863.89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300659.75</v>
      </c>
      <c r="G32" s="18">
        <v>10711.5</v>
      </c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2315795.8200000003</v>
      </c>
      <c r="G33" s="41">
        <f>SUM(G23:G32)</f>
        <v>46710.48</v>
      </c>
      <c r="H33" s="41">
        <f>SUM(H23:H32)</f>
        <v>600032.16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>
        <v>58.77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40729.5</v>
      </c>
      <c r="H41" s="18">
        <v>62.9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40729.5</v>
      </c>
      <c r="H43" s="41">
        <f>SUM(H35:H42)</f>
        <v>121.67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2315795.8200000003</v>
      </c>
      <c r="G44" s="41">
        <f>G43+G33</f>
        <v>87439.98000000001</v>
      </c>
      <c r="H44" s="41">
        <f>H43+H33</f>
        <v>600153.83000000007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15444717.050000001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15444717.050000001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4840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98536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>
        <v>81826.8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233111.19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30000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366487.19</v>
      </c>
      <c r="G71" s="45" t="s">
        <v>312</v>
      </c>
      <c r="H71" s="41">
        <f>SUM(H55:H70)</f>
        <v>81826.8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516907.58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4479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3700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200449.61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>
        <v>44802.05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8179</v>
      </c>
      <c r="G103" s="41">
        <f>SUM(G88:G102)</f>
        <v>516907.58</v>
      </c>
      <c r="H103" s="41">
        <f>SUM(H88:H102)</f>
        <v>245251.65999999997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15819383.24</v>
      </c>
      <c r="G104" s="41">
        <f>G52+G103</f>
        <v>516907.58</v>
      </c>
      <c r="H104" s="41">
        <f>H52+H71+H86+H103</f>
        <v>327078.45999999996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6460883-1791498.45</f>
        <v>4669384.55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4856348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1791498.45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>
        <v>50883.29</v>
      </c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11317231</v>
      </c>
      <c r="G113" s="41">
        <f>SUM(G109:G112)</f>
        <v>50883.29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816713.09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196864.55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668671.31999999995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15551.61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15450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f>145005.48-22369</f>
        <v>122636.48000000001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1697698.96</v>
      </c>
      <c r="G128" s="41">
        <f>SUM(G115:G127)</f>
        <v>15551.61</v>
      </c>
      <c r="H128" s="41">
        <f>SUM(H115:H127)</f>
        <v>122636.48000000001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13014929.960000001</v>
      </c>
      <c r="G132" s="41">
        <f>G113+SUM(G128:G129)</f>
        <v>66434.899999999994</v>
      </c>
      <c r="H132" s="41">
        <f>H113+SUM(H128:H131)</f>
        <v>122636.48000000001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1315856.93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862880.2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201364.81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212519.97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683364.02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824897.56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355995.94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22369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355995.94</v>
      </c>
      <c r="G154" s="41">
        <f>SUM(G142:G153)</f>
        <v>705733.02</v>
      </c>
      <c r="H154" s="41">
        <f>SUM(H142:H153)</f>
        <v>3417519.47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355995.94</v>
      </c>
      <c r="G161" s="41">
        <f>G139+G154+SUM(G155:G160)</f>
        <v>705733.02</v>
      </c>
      <c r="H161" s="41">
        <f>H139+H154+SUM(H155:H160)</f>
        <v>3417519.47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29190309.140000004</v>
      </c>
      <c r="G185" s="47">
        <f>G104+G132+G161+G184</f>
        <v>1289075.5</v>
      </c>
      <c r="H185" s="47">
        <f>H104+H132+H161+H184</f>
        <v>3867234.41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3202429.5</v>
      </c>
      <c r="G189" s="18">
        <v>1310537.4099999999</v>
      </c>
      <c r="H189" s="18">
        <v>37319.949999999997</v>
      </c>
      <c r="I189" s="18">
        <v>137183.87</v>
      </c>
      <c r="J189" s="18"/>
      <c r="K189" s="18"/>
      <c r="L189" s="19">
        <f>SUM(F189:K189)</f>
        <v>4687470.7300000004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1257235.01</v>
      </c>
      <c r="G190" s="18">
        <v>516602.2</v>
      </c>
      <c r="H190" s="18">
        <v>336450.58</v>
      </c>
      <c r="I190" s="18">
        <v>5181.99</v>
      </c>
      <c r="J190" s="18">
        <v>369.78</v>
      </c>
      <c r="K190" s="18">
        <v>670</v>
      </c>
      <c r="L190" s="19">
        <f>SUM(F190:K190)</f>
        <v>2116509.56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11584.1</v>
      </c>
      <c r="G192" s="18">
        <v>4485.95</v>
      </c>
      <c r="H192" s="18"/>
      <c r="I192" s="18">
        <v>337</v>
      </c>
      <c r="J192" s="18"/>
      <c r="K192" s="18"/>
      <c r="L192" s="19">
        <f>SUM(F192:K192)</f>
        <v>16407.05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617890.14</v>
      </c>
      <c r="G194" s="18">
        <v>254015.58</v>
      </c>
      <c r="H194" s="18">
        <v>15603.56</v>
      </c>
      <c r="I194" s="18">
        <v>6192.01</v>
      </c>
      <c r="J194" s="18">
        <v>283.75</v>
      </c>
      <c r="K194" s="18"/>
      <c r="L194" s="19">
        <f t="shared" ref="L194:L200" si="0">SUM(F194:K194)</f>
        <v>893985.04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219099.34</v>
      </c>
      <c r="G195" s="18">
        <v>124522.94</v>
      </c>
      <c r="H195" s="18">
        <f>52868.28+683.99</f>
        <v>53552.27</v>
      </c>
      <c r="I195" s="18">
        <f>42061.85-684</f>
        <v>41377.85</v>
      </c>
      <c r="J195" s="18">
        <v>57359.76</v>
      </c>
      <c r="K195" s="18"/>
      <c r="L195" s="19">
        <f t="shared" si="0"/>
        <v>495912.16000000003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153969.98000000001</v>
      </c>
      <c r="G196" s="18">
        <v>67145.8</v>
      </c>
      <c r="H196" s="18">
        <v>56406.36</v>
      </c>
      <c r="I196" s="18">
        <v>2710.44</v>
      </c>
      <c r="J196" s="18"/>
      <c r="K196" s="18">
        <f>16964.46-4.4</f>
        <v>16960.059999999998</v>
      </c>
      <c r="L196" s="19">
        <f t="shared" si="0"/>
        <v>297192.64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470238.58</v>
      </c>
      <c r="G197" s="18">
        <v>198991.29</v>
      </c>
      <c r="H197" s="18">
        <f>13254.34-556.35</f>
        <v>12697.99</v>
      </c>
      <c r="I197" s="18">
        <v>5460.42</v>
      </c>
      <c r="J197" s="18"/>
      <c r="K197" s="18">
        <v>3359.43</v>
      </c>
      <c r="L197" s="19">
        <f t="shared" si="0"/>
        <v>690747.71000000008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97069.87</v>
      </c>
      <c r="G198" s="18">
        <v>40612.68</v>
      </c>
      <c r="H198" s="18">
        <v>43954.239999999998</v>
      </c>
      <c r="I198" s="18">
        <v>675.16</v>
      </c>
      <c r="J198" s="18">
        <v>790.24</v>
      </c>
      <c r="K198" s="18"/>
      <c r="L198" s="19">
        <f t="shared" si="0"/>
        <v>183102.18999999997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295529.33</v>
      </c>
      <c r="G199" s="18">
        <v>121120.58</v>
      </c>
      <c r="H199" s="18">
        <v>218014</v>
      </c>
      <c r="I199" s="18">
        <v>279514.45</v>
      </c>
      <c r="J199" s="18">
        <v>8620.4</v>
      </c>
      <c r="K199" s="18"/>
      <c r="L199" s="19">
        <f t="shared" si="0"/>
        <v>922798.76000000013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230019.33+500</f>
        <v>230519.33</v>
      </c>
      <c r="I200" s="18"/>
      <c r="J200" s="18"/>
      <c r="K200" s="18"/>
      <c r="L200" s="19">
        <f t="shared" si="0"/>
        <v>230519.33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6325045.8499999996</v>
      </c>
      <c r="G203" s="41">
        <f t="shared" si="1"/>
        <v>2638034.4300000002</v>
      </c>
      <c r="H203" s="41">
        <f t="shared" si="1"/>
        <v>1004518.28</v>
      </c>
      <c r="I203" s="41">
        <f t="shared" si="1"/>
        <v>478633.19000000006</v>
      </c>
      <c r="J203" s="41">
        <f t="shared" si="1"/>
        <v>67423.929999999993</v>
      </c>
      <c r="K203" s="41">
        <f t="shared" si="1"/>
        <v>20989.489999999998</v>
      </c>
      <c r="L203" s="41">
        <f t="shared" si="1"/>
        <v>10534645.170000002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1962210.35</v>
      </c>
      <c r="G207" s="18">
        <v>802984.53</v>
      </c>
      <c r="H207" s="18">
        <v>30152.240000000002</v>
      </c>
      <c r="I207" s="18">
        <v>62867.46</v>
      </c>
      <c r="J207" s="18">
        <v>28022.28</v>
      </c>
      <c r="K207" s="18"/>
      <c r="L207" s="19">
        <f>SUM(F207:K207)</f>
        <v>2886236.86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723061.22</v>
      </c>
      <c r="G208" s="18">
        <v>296072.5</v>
      </c>
      <c r="H208" s="18">
        <v>95044.34</v>
      </c>
      <c r="I208" s="18">
        <v>8648.0300000000007</v>
      </c>
      <c r="J208" s="18">
        <v>369.28</v>
      </c>
      <c r="K208" s="18">
        <v>700</v>
      </c>
      <c r="L208" s="19">
        <f>SUM(F208:K208)</f>
        <v>1123895.3700000001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42192.05</v>
      </c>
      <c r="G210" s="18">
        <v>17302.96</v>
      </c>
      <c r="H210" s="18">
        <v>13562</v>
      </c>
      <c r="I210" s="18">
        <v>5595.22</v>
      </c>
      <c r="J210" s="18"/>
      <c r="K210" s="18"/>
      <c r="L210" s="19">
        <f>SUM(F210:K210)</f>
        <v>78652.23000000001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294254.03000000003</v>
      </c>
      <c r="G212" s="18">
        <v>120919.71</v>
      </c>
      <c r="H212" s="18">
        <v>27507.599999999999</v>
      </c>
      <c r="I212" s="18">
        <v>2847.85</v>
      </c>
      <c r="J212" s="18"/>
      <c r="K212" s="18"/>
      <c r="L212" s="19">
        <f t="shared" ref="L212:L218" si="2">SUM(F212:K212)</f>
        <v>445529.19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108546.92</v>
      </c>
      <c r="G213" s="18">
        <v>61620.62</v>
      </c>
      <c r="H213" s="18">
        <f>21564.46+227.99</f>
        <v>21792.45</v>
      </c>
      <c r="I213" s="18">
        <f>19578.81-228.01</f>
        <v>19350.800000000003</v>
      </c>
      <c r="J213" s="18">
        <v>13488.01</v>
      </c>
      <c r="K213" s="18"/>
      <c r="L213" s="19">
        <f t="shared" si="2"/>
        <v>224798.80000000005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76984.98</v>
      </c>
      <c r="G214" s="18">
        <v>33572.9</v>
      </c>
      <c r="H214" s="18">
        <v>28203.17</v>
      </c>
      <c r="I214" s="18">
        <v>1355.23</v>
      </c>
      <c r="J214" s="18"/>
      <c r="K214" s="18">
        <f>8482.23-2.2</f>
        <v>8480.0299999999988</v>
      </c>
      <c r="L214" s="19">
        <f t="shared" si="2"/>
        <v>148596.31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264143.73</v>
      </c>
      <c r="G215" s="18">
        <v>108303.58</v>
      </c>
      <c r="H215" s="18">
        <f>19914.76-278.17</f>
        <v>19636.59</v>
      </c>
      <c r="I215" s="18">
        <v>1386.81</v>
      </c>
      <c r="J215" s="18"/>
      <c r="K215" s="18">
        <v>2373.35</v>
      </c>
      <c r="L215" s="19">
        <f t="shared" si="2"/>
        <v>395844.06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48534.93</v>
      </c>
      <c r="G216" s="18">
        <v>20306.34</v>
      </c>
      <c r="H216" s="18">
        <v>21977.119999999999</v>
      </c>
      <c r="I216" s="18">
        <v>337.58</v>
      </c>
      <c r="J216" s="18">
        <v>395.12</v>
      </c>
      <c r="K216" s="18"/>
      <c r="L216" s="19">
        <f t="shared" si="2"/>
        <v>91551.09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223938.18</v>
      </c>
      <c r="G217" s="18">
        <v>91641.49</v>
      </c>
      <c r="H217" s="18">
        <v>75713</v>
      </c>
      <c r="I217" s="18">
        <v>241528.35</v>
      </c>
      <c r="J217" s="18">
        <v>266.41000000000003</v>
      </c>
      <c r="K217" s="18"/>
      <c r="L217" s="19">
        <f t="shared" si="2"/>
        <v>633087.43000000005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112156.6+733.75-230</f>
        <v>112660.35</v>
      </c>
      <c r="I218" s="18"/>
      <c r="J218" s="18"/>
      <c r="K218" s="18"/>
      <c r="L218" s="19">
        <f t="shared" si="2"/>
        <v>112660.35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3743866.3900000006</v>
      </c>
      <c r="G221" s="41">
        <f>SUM(G207:G220)</f>
        <v>1552724.6300000001</v>
      </c>
      <c r="H221" s="41">
        <f>SUM(H207:H220)</f>
        <v>446248.86</v>
      </c>
      <c r="I221" s="41">
        <f>SUM(I207:I220)</f>
        <v>343917.33</v>
      </c>
      <c r="J221" s="41">
        <f>SUM(J207:J220)</f>
        <v>42541.100000000006</v>
      </c>
      <c r="K221" s="41">
        <f t="shared" si="3"/>
        <v>11553.38</v>
      </c>
      <c r="L221" s="41">
        <f t="shared" si="3"/>
        <v>6140851.6899999985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2341644.79</v>
      </c>
      <c r="G225" s="18">
        <v>934358.71</v>
      </c>
      <c r="H225" s="18">
        <v>74103.539999999994</v>
      </c>
      <c r="I225" s="18">
        <v>136602.41</v>
      </c>
      <c r="J225" s="18">
        <v>29268.28</v>
      </c>
      <c r="K225" s="18"/>
      <c r="L225" s="19">
        <f>SUM(F225:K225)</f>
        <v>3515977.73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732657</v>
      </c>
      <c r="G226" s="18">
        <v>301917.63</v>
      </c>
      <c r="H226" s="18">
        <v>442227.72</v>
      </c>
      <c r="I226" s="18">
        <v>1411.29</v>
      </c>
      <c r="J226" s="18">
        <v>1327.94</v>
      </c>
      <c r="K226" s="18">
        <v>670</v>
      </c>
      <c r="L226" s="19">
        <f>SUM(F226:K226)</f>
        <v>1480211.58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1027560.72</v>
      </c>
      <c r="G227" s="18">
        <v>347340.47</v>
      </c>
      <c r="H227" s="18">
        <f>30245.12-22191.27</f>
        <v>8053.8499999999985</v>
      </c>
      <c r="I227" s="18">
        <f>40273-1917.13</f>
        <v>38355.870000000003</v>
      </c>
      <c r="J227" s="18">
        <v>725.18</v>
      </c>
      <c r="K227" s="18">
        <v>294.83</v>
      </c>
      <c r="L227" s="19">
        <f>SUM(F227:K227)</f>
        <v>1422330.9200000002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157973.35</v>
      </c>
      <c r="G228" s="18">
        <v>64725.81</v>
      </c>
      <c r="H228" s="18">
        <v>56229.58</v>
      </c>
      <c r="I228" s="18">
        <v>12289.91</v>
      </c>
      <c r="J228" s="18"/>
      <c r="K228" s="18"/>
      <c r="L228" s="19">
        <f>SUM(F228:K228)</f>
        <v>291218.64999999997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290777.71999999997</v>
      </c>
      <c r="G230" s="18">
        <v>146152.85999999999</v>
      </c>
      <c r="H230" s="18">
        <v>11699.2</v>
      </c>
      <c r="I230" s="18">
        <f>1804.84+200</f>
        <v>2004.84</v>
      </c>
      <c r="J230" s="18"/>
      <c r="K230" s="18">
        <v>120</v>
      </c>
      <c r="L230" s="19">
        <f t="shared" ref="L230:L236" si="4">SUM(F230:K230)</f>
        <v>450754.62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155749.95000000001</v>
      </c>
      <c r="G231" s="18">
        <v>90338.11</v>
      </c>
      <c r="H231" s="18">
        <f>34660.55+1228.02</f>
        <v>35888.57</v>
      </c>
      <c r="I231" s="18">
        <f>40055.32-1227.99</f>
        <v>38827.33</v>
      </c>
      <c r="J231" s="18">
        <v>14379.94</v>
      </c>
      <c r="K231" s="18"/>
      <c r="L231" s="19">
        <f t="shared" si="4"/>
        <v>335183.90000000002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194637.8</v>
      </c>
      <c r="G232" s="18">
        <v>84820.96</v>
      </c>
      <c r="H232" s="18">
        <v>43586.73</v>
      </c>
      <c r="I232" s="18">
        <v>2094.4299999999998</v>
      </c>
      <c r="J232" s="18"/>
      <c r="K232" s="18">
        <f>13108.89-3.4</f>
        <v>13105.49</v>
      </c>
      <c r="L232" s="19">
        <f t="shared" si="4"/>
        <v>338245.41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300808.32000000001</v>
      </c>
      <c r="G233" s="18">
        <v>212916.97</v>
      </c>
      <c r="H233" s="18">
        <f>27780.78+984.81+596.47+1150-429.92+0.18</f>
        <v>30082.320000000003</v>
      </c>
      <c r="I233" s="18">
        <f>2358+1717.13</f>
        <v>4075.13</v>
      </c>
      <c r="J233" s="18"/>
      <c r="K233" s="18">
        <v>7492.16</v>
      </c>
      <c r="L233" s="19">
        <f t="shared" si="4"/>
        <v>555374.9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75008.53</v>
      </c>
      <c r="G234" s="18">
        <v>31440.799999999999</v>
      </c>
      <c r="H234" s="18">
        <v>33964.639999999999</v>
      </c>
      <c r="I234" s="18">
        <v>521.72</v>
      </c>
      <c r="J234" s="18">
        <v>610.64</v>
      </c>
      <c r="K234" s="18"/>
      <c r="L234" s="19">
        <f t="shared" si="4"/>
        <v>141546.33000000002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224405.7</v>
      </c>
      <c r="G235" s="18">
        <v>96768.29</v>
      </c>
      <c r="H235" s="18">
        <f>304333.45+20609.99</f>
        <v>324943.44</v>
      </c>
      <c r="I235" s="18">
        <v>252894.63</v>
      </c>
      <c r="J235" s="18">
        <v>7031.28</v>
      </c>
      <c r="K235" s="18"/>
      <c r="L235" s="19">
        <f t="shared" si="4"/>
        <v>906043.34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>
        <f>-0.02+0.02</f>
        <v>0</v>
      </c>
      <c r="H236" s="18">
        <f>253629.17+260.49</f>
        <v>253889.66</v>
      </c>
      <c r="I236" s="18"/>
      <c r="J236" s="18"/>
      <c r="K236" s="18"/>
      <c r="L236" s="19">
        <f t="shared" si="4"/>
        <v>253889.66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5501223.8799999999</v>
      </c>
      <c r="G239" s="41">
        <f t="shared" si="5"/>
        <v>2310780.61</v>
      </c>
      <c r="H239" s="41">
        <f t="shared" si="5"/>
        <v>1314669.2499999998</v>
      </c>
      <c r="I239" s="41">
        <f t="shared" si="5"/>
        <v>489077.56000000006</v>
      </c>
      <c r="J239" s="41">
        <f t="shared" si="5"/>
        <v>53343.259999999995</v>
      </c>
      <c r="K239" s="41">
        <f t="shared" si="5"/>
        <v>21682.48</v>
      </c>
      <c r="L239" s="41">
        <f t="shared" si="5"/>
        <v>9690777.040000001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149833.14000000001</v>
      </c>
      <c r="G243" s="18">
        <v>16021.24</v>
      </c>
      <c r="H243" s="18">
        <f>7052.51-1150</f>
        <v>5902.51</v>
      </c>
      <c r="I243" s="18">
        <v>18917.349999999999</v>
      </c>
      <c r="J243" s="18">
        <v>12248</v>
      </c>
      <c r="K243" s="18">
        <v>2745.5</v>
      </c>
      <c r="L243" s="19">
        <f t="shared" si="6"/>
        <v>205667.74000000002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149833.14000000001</v>
      </c>
      <c r="G248" s="41">
        <f t="shared" si="7"/>
        <v>16021.24</v>
      </c>
      <c r="H248" s="41">
        <f t="shared" si="7"/>
        <v>5902.51</v>
      </c>
      <c r="I248" s="41">
        <f t="shared" si="7"/>
        <v>18917.349999999999</v>
      </c>
      <c r="J248" s="41">
        <f t="shared" si="7"/>
        <v>12248</v>
      </c>
      <c r="K248" s="41">
        <f t="shared" si="7"/>
        <v>2745.5</v>
      </c>
      <c r="L248" s="41">
        <f>SUM(F248:K248)</f>
        <v>205667.74000000002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15719969.260000002</v>
      </c>
      <c r="G249" s="41">
        <f t="shared" si="8"/>
        <v>6517560.9100000001</v>
      </c>
      <c r="H249" s="41">
        <f t="shared" si="8"/>
        <v>2771338.8999999994</v>
      </c>
      <c r="I249" s="41">
        <f t="shared" si="8"/>
        <v>1330545.4300000002</v>
      </c>
      <c r="J249" s="41">
        <f t="shared" si="8"/>
        <v>175556.28999999998</v>
      </c>
      <c r="K249" s="41">
        <f t="shared" si="8"/>
        <v>56970.849999999991</v>
      </c>
      <c r="L249" s="41">
        <f t="shared" si="8"/>
        <v>26571941.639999997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2131178.42</v>
      </c>
      <c r="L252" s="19">
        <f>SUM(F252:K252)</f>
        <v>2131178.42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487189.08</v>
      </c>
      <c r="L253" s="19">
        <f>SUM(F253:K253)</f>
        <v>487189.08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2618367.5</v>
      </c>
      <c r="L262" s="41">
        <f t="shared" si="9"/>
        <v>2618367.5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15719969.260000002</v>
      </c>
      <c r="G263" s="42">
        <f t="shared" si="11"/>
        <v>6517560.9100000001</v>
      </c>
      <c r="H263" s="42">
        <f t="shared" si="11"/>
        <v>2771338.8999999994</v>
      </c>
      <c r="I263" s="42">
        <f t="shared" si="11"/>
        <v>1330545.4300000002</v>
      </c>
      <c r="J263" s="42">
        <f t="shared" si="11"/>
        <v>175556.28999999998</v>
      </c>
      <c r="K263" s="42">
        <f t="shared" si="11"/>
        <v>2675338.35</v>
      </c>
      <c r="L263" s="42">
        <f t="shared" si="11"/>
        <v>29190309.139999997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568679.13+2365-2365</f>
        <v>568679.13</v>
      </c>
      <c r="G268" s="18">
        <f>150646.5+10097.16</f>
        <v>160743.66</v>
      </c>
      <c r="H268" s="18">
        <f>92448.1+3080+8192.6-3096</f>
        <v>100624.70000000001</v>
      </c>
      <c r="I268" s="18">
        <f>109773.86+457.6-602.65</f>
        <v>109628.81000000001</v>
      </c>
      <c r="J268" s="18"/>
      <c r="K268" s="18"/>
      <c r="L268" s="19">
        <f>SUM(F268:K268)</f>
        <v>939676.3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98188.83</v>
      </c>
      <c r="G269" s="18">
        <v>24955.02</v>
      </c>
      <c r="H269" s="18">
        <v>39705.599999999999</v>
      </c>
      <c r="I269" s="18">
        <v>3087.48</v>
      </c>
      <c r="J269" s="18"/>
      <c r="K269" s="18"/>
      <c r="L269" s="19">
        <f>SUM(F269:K269)</f>
        <v>165936.93000000002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15004</v>
      </c>
      <c r="G271" s="18"/>
      <c r="H271" s="18"/>
      <c r="I271" s="18"/>
      <c r="J271" s="18"/>
      <c r="K271" s="18"/>
      <c r="L271" s="19">
        <f>SUM(F271:K271)</f>
        <v>15004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38019.06</v>
      </c>
      <c r="G273" s="18">
        <v>9906.16</v>
      </c>
      <c r="H273" s="18">
        <v>54651.8</v>
      </c>
      <c r="I273" s="18"/>
      <c r="J273" s="18"/>
      <c r="K273" s="18">
        <v>44</v>
      </c>
      <c r="L273" s="19">
        <f t="shared" ref="L273:L279" si="12">SUM(F273:K273)</f>
        <v>102621.02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135867.07-11032.59</f>
        <v>124834.48000000001</v>
      </c>
      <c r="I274" s="18">
        <v>6575.18</v>
      </c>
      <c r="J274" s="18">
        <v>100955.97</v>
      </c>
      <c r="K274" s="18"/>
      <c r="L274" s="19">
        <f t="shared" si="12"/>
        <v>232365.63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105.6</v>
      </c>
      <c r="I275" s="18"/>
      <c r="J275" s="18"/>
      <c r="K275" s="18">
        <v>919.39</v>
      </c>
      <c r="L275" s="19">
        <f t="shared" si="12"/>
        <v>1024.99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1148.4000000000001</v>
      </c>
      <c r="G276" s="18"/>
      <c r="H276" s="18"/>
      <c r="I276" s="18"/>
      <c r="J276" s="18"/>
      <c r="K276" s="18"/>
      <c r="L276" s="19">
        <f t="shared" si="12"/>
        <v>1148.4000000000001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>
        <v>178.35</v>
      </c>
      <c r="K278" s="18"/>
      <c r="L278" s="19">
        <f t="shared" si="12"/>
        <v>178.35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5877.45</v>
      </c>
      <c r="I279" s="18"/>
      <c r="J279" s="18"/>
      <c r="K279" s="18"/>
      <c r="L279" s="19">
        <f t="shared" si="12"/>
        <v>5877.45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721039.42</v>
      </c>
      <c r="G282" s="42">
        <f t="shared" si="13"/>
        <v>195604.84</v>
      </c>
      <c r="H282" s="42">
        <f t="shared" si="13"/>
        <v>325799.63000000006</v>
      </c>
      <c r="I282" s="42">
        <f t="shared" si="13"/>
        <v>119291.47</v>
      </c>
      <c r="J282" s="42">
        <f t="shared" si="13"/>
        <v>101134.32</v>
      </c>
      <c r="K282" s="42">
        <f t="shared" si="13"/>
        <v>963.39</v>
      </c>
      <c r="L282" s="41">
        <f t="shared" si="13"/>
        <v>1463833.0699999998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281125.84+1210-1210</f>
        <v>281125.84000000003</v>
      </c>
      <c r="G287" s="18">
        <f>75079.49+5048.57</f>
        <v>80128.06</v>
      </c>
      <c r="H287" s="18">
        <f>32003.27+1540-660</f>
        <v>32883.270000000004</v>
      </c>
      <c r="I287" s="18">
        <f>47103.85+228.8-1385.94</f>
        <v>45946.71</v>
      </c>
      <c r="J287" s="18"/>
      <c r="K287" s="18"/>
      <c r="L287" s="19">
        <f>SUM(F287:K287)</f>
        <v>440083.88000000006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39234.410000000003</v>
      </c>
      <c r="G288" s="18">
        <v>12477.51</v>
      </c>
      <c r="H288" s="18">
        <v>19852.8</v>
      </c>
      <c r="I288" s="18">
        <v>1543.74</v>
      </c>
      <c r="J288" s="18"/>
      <c r="K288" s="18"/>
      <c r="L288" s="19">
        <f>SUM(F288:K288)</f>
        <v>73108.460000000006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21354.7</v>
      </c>
      <c r="G292" s="18">
        <v>4953.08</v>
      </c>
      <c r="H292" s="18">
        <v>27325.9</v>
      </c>
      <c r="I292" s="18"/>
      <c r="J292" s="18"/>
      <c r="K292" s="18">
        <v>22</v>
      </c>
      <c r="L292" s="19">
        <f t="shared" ref="L292:L298" si="14">SUM(F292:K292)</f>
        <v>53655.68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f>60615.03-5644.58</f>
        <v>54970.45</v>
      </c>
      <c r="I293" s="18">
        <v>3287.57</v>
      </c>
      <c r="J293" s="18">
        <v>57499.47</v>
      </c>
      <c r="K293" s="18"/>
      <c r="L293" s="19">
        <f t="shared" si="14"/>
        <v>115757.48999999999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v>52.8</v>
      </c>
      <c r="I294" s="18"/>
      <c r="J294" s="18"/>
      <c r="K294" s="18">
        <v>459.7</v>
      </c>
      <c r="L294" s="19">
        <f t="shared" si="14"/>
        <v>512.5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574.20000000000005</v>
      </c>
      <c r="G295" s="18"/>
      <c r="H295" s="18"/>
      <c r="I295" s="18"/>
      <c r="J295" s="18"/>
      <c r="K295" s="18"/>
      <c r="L295" s="19">
        <f t="shared" si="14"/>
        <v>574.20000000000005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>
        <v>89.18</v>
      </c>
      <c r="K297" s="18"/>
      <c r="L297" s="19">
        <f t="shared" si="14"/>
        <v>89.18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2938.72</v>
      </c>
      <c r="I298" s="18"/>
      <c r="J298" s="18"/>
      <c r="K298" s="18"/>
      <c r="L298" s="19">
        <f t="shared" si="14"/>
        <v>2938.72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342289.15</v>
      </c>
      <c r="G301" s="42">
        <f t="shared" si="15"/>
        <v>97558.65</v>
      </c>
      <c r="H301" s="42">
        <f t="shared" si="15"/>
        <v>138023.93999999997</v>
      </c>
      <c r="I301" s="42">
        <f t="shared" si="15"/>
        <v>50778.02</v>
      </c>
      <c r="J301" s="42">
        <f t="shared" si="15"/>
        <v>57588.65</v>
      </c>
      <c r="K301" s="42">
        <f t="shared" si="15"/>
        <v>481.7</v>
      </c>
      <c r="L301" s="41">
        <f t="shared" si="15"/>
        <v>686720.1100000001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605337.8+1925-1925</f>
        <v>605337.80000000005</v>
      </c>
      <c r="G306" s="18">
        <f>148978.02+7802.34</f>
        <v>156780.35999999999</v>
      </c>
      <c r="H306" s="18">
        <f>61223.74+2380-1050</f>
        <v>62553.74</v>
      </c>
      <c r="I306" s="18">
        <f>101599.57+353.6-1822.62</f>
        <v>100130.55000000002</v>
      </c>
      <c r="J306" s="18"/>
      <c r="K306" s="18"/>
      <c r="L306" s="19">
        <f>SUM(F306:K306)</f>
        <v>924802.45000000007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60635.01</v>
      </c>
      <c r="G307" s="18">
        <v>19283.419999999998</v>
      </c>
      <c r="H307" s="18">
        <v>30681.599999999999</v>
      </c>
      <c r="I307" s="18">
        <v>2385.77</v>
      </c>
      <c r="J307" s="18"/>
      <c r="K307" s="18"/>
      <c r="L307" s="19">
        <f>SUM(F307:K307)</f>
        <v>112985.8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42902.16</v>
      </c>
      <c r="G308" s="18">
        <v>4068.19</v>
      </c>
      <c r="H308" s="18">
        <f>24312.88-2499.58</f>
        <v>21813.300000000003</v>
      </c>
      <c r="I308" s="18">
        <f>43482.43+467-571.38</f>
        <v>43378.05</v>
      </c>
      <c r="J308" s="18">
        <f>50512.01+14859.36</f>
        <v>65371.37</v>
      </c>
      <c r="K308" s="18"/>
      <c r="L308" s="19">
        <f>SUM(F308:K308)</f>
        <v>177533.07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33950.01</v>
      </c>
      <c r="G311" s="18">
        <v>7654.76</v>
      </c>
      <c r="H311" s="18">
        <v>46230.25</v>
      </c>
      <c r="I311" s="18">
        <v>7187.2</v>
      </c>
      <c r="J311" s="18"/>
      <c r="K311" s="18">
        <f>1385+176</f>
        <v>1561</v>
      </c>
      <c r="L311" s="19">
        <f t="shared" ref="L311:L317" si="16">SUM(F311:K311)</f>
        <v>96583.22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f>108349.91+420-8980.02</f>
        <v>99789.89</v>
      </c>
      <c r="I312" s="18">
        <v>7874.13</v>
      </c>
      <c r="J312" s="18">
        <v>81161.679999999993</v>
      </c>
      <c r="K312" s="18">
        <v>6637.69</v>
      </c>
      <c r="L312" s="19">
        <f t="shared" si="16"/>
        <v>195463.39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v>81.599999999999994</v>
      </c>
      <c r="I313" s="18"/>
      <c r="J313" s="18"/>
      <c r="K313" s="18">
        <v>710.43</v>
      </c>
      <c r="L313" s="19">
        <f t="shared" si="16"/>
        <v>792.03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887.4</v>
      </c>
      <c r="G314" s="18"/>
      <c r="H314" s="18">
        <v>10157.879999999999</v>
      </c>
      <c r="I314" s="18">
        <v>796.73</v>
      </c>
      <c r="J314" s="18"/>
      <c r="K314" s="18"/>
      <c r="L314" s="19">
        <f t="shared" si="16"/>
        <v>11842.009999999998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>
        <v>137.81</v>
      </c>
      <c r="K316" s="18"/>
      <c r="L316" s="19">
        <f t="shared" si="16"/>
        <v>137.81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7721.5</v>
      </c>
      <c r="I317" s="18"/>
      <c r="J317" s="18"/>
      <c r="K317" s="18"/>
      <c r="L317" s="19">
        <f t="shared" si="16"/>
        <v>7721.5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743712.38000000012</v>
      </c>
      <c r="G320" s="42">
        <f t="shared" si="17"/>
        <v>187786.72999999998</v>
      </c>
      <c r="H320" s="42">
        <f t="shared" si="17"/>
        <v>279029.76000000001</v>
      </c>
      <c r="I320" s="42">
        <f t="shared" si="17"/>
        <v>161752.43000000005</v>
      </c>
      <c r="J320" s="42">
        <f t="shared" si="17"/>
        <v>146670.85999999999</v>
      </c>
      <c r="K320" s="42">
        <f t="shared" si="17"/>
        <v>8909.119999999999</v>
      </c>
      <c r="L320" s="41">
        <f t="shared" si="17"/>
        <v>1527861.2800000003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151483.75+192-192</f>
        <v>151483.75</v>
      </c>
      <c r="G325" s="18">
        <f>15087.8+15.66-15.66</f>
        <v>15087.8</v>
      </c>
      <c r="H325" s="18">
        <v>5775.01</v>
      </c>
      <c r="I325" s="18">
        <v>16358.39</v>
      </c>
      <c r="J325" s="18"/>
      <c r="K325" s="18">
        <v>115</v>
      </c>
      <c r="L325" s="19">
        <f t="shared" si="18"/>
        <v>188819.95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151483.75</v>
      </c>
      <c r="G329" s="41">
        <f t="shared" si="19"/>
        <v>15087.8</v>
      </c>
      <c r="H329" s="41">
        <f t="shared" si="19"/>
        <v>5775.01</v>
      </c>
      <c r="I329" s="41">
        <f t="shared" si="19"/>
        <v>16358.39</v>
      </c>
      <c r="J329" s="41">
        <f t="shared" si="19"/>
        <v>0</v>
      </c>
      <c r="K329" s="41">
        <f t="shared" si="19"/>
        <v>115</v>
      </c>
      <c r="L329" s="41">
        <f t="shared" si="18"/>
        <v>188819.95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1958524.7000000002</v>
      </c>
      <c r="G330" s="41">
        <f t="shared" si="20"/>
        <v>496038.01999999996</v>
      </c>
      <c r="H330" s="41">
        <f t="shared" si="20"/>
        <v>748628.34000000008</v>
      </c>
      <c r="I330" s="41">
        <f t="shared" si="20"/>
        <v>348180.31000000006</v>
      </c>
      <c r="J330" s="41">
        <f t="shared" si="20"/>
        <v>305393.82999999996</v>
      </c>
      <c r="K330" s="41">
        <f t="shared" si="20"/>
        <v>10469.209999999999</v>
      </c>
      <c r="L330" s="41">
        <f t="shared" si="20"/>
        <v>3867234.41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1958524.7000000002</v>
      </c>
      <c r="G344" s="41">
        <f>G330</f>
        <v>496038.01999999996</v>
      </c>
      <c r="H344" s="41">
        <f>H330</f>
        <v>748628.34000000008</v>
      </c>
      <c r="I344" s="41">
        <f>I330</f>
        <v>348180.31000000006</v>
      </c>
      <c r="J344" s="41">
        <f>J330</f>
        <v>305393.82999999996</v>
      </c>
      <c r="K344" s="47">
        <f>K330+K343</f>
        <v>10469.209999999999</v>
      </c>
      <c r="L344" s="41">
        <f>L330+L343</f>
        <v>3867234.41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183100.33</v>
      </c>
      <c r="G350" s="18">
        <v>61195.51</v>
      </c>
      <c r="H350" s="18">
        <v>12709.35</v>
      </c>
      <c r="I350" s="18">
        <v>269782.33</v>
      </c>
      <c r="J350" s="18">
        <f>1728.13+9842.36</f>
        <v>11570.490000000002</v>
      </c>
      <c r="K350" s="18"/>
      <c r="L350" s="13">
        <f>SUM(F350:K350)</f>
        <v>538358.01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133451.84</v>
      </c>
      <c r="G351" s="18">
        <v>47459.85</v>
      </c>
      <c r="H351" s="18">
        <v>2199.23</v>
      </c>
      <c r="I351" s="18">
        <v>153433.62</v>
      </c>
      <c r="J351" s="18">
        <f>2731+4921.18</f>
        <v>7652.18</v>
      </c>
      <c r="K351" s="18"/>
      <c r="L351" s="19">
        <f>SUM(F351:K351)</f>
        <v>344196.72000000003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114108.24</v>
      </c>
      <c r="G352" s="18">
        <v>35833.589999999997</v>
      </c>
      <c r="H352" s="18">
        <v>6061.46</v>
      </c>
      <c r="I352" s="18">
        <v>200887.7</v>
      </c>
      <c r="J352" s="18">
        <f>1294.82+7605.46</f>
        <v>8900.2800000000007</v>
      </c>
      <c r="K352" s="18"/>
      <c r="L352" s="19">
        <f>SUM(F352:K352)</f>
        <v>365791.27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430660.41</v>
      </c>
      <c r="G354" s="47">
        <f t="shared" si="22"/>
        <v>144488.95000000001</v>
      </c>
      <c r="H354" s="47">
        <f t="shared" si="22"/>
        <v>20970.04</v>
      </c>
      <c r="I354" s="47">
        <f t="shared" si="22"/>
        <v>624103.65</v>
      </c>
      <c r="J354" s="47">
        <f t="shared" si="22"/>
        <v>28122.950000000004</v>
      </c>
      <c r="K354" s="47">
        <f t="shared" si="22"/>
        <v>0</v>
      </c>
      <c r="L354" s="47">
        <f t="shared" si="22"/>
        <v>1248346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252263.21</v>
      </c>
      <c r="G359" s="18">
        <v>138465.70000000001</v>
      </c>
      <c r="H359" s="18">
        <v>188730.12</v>
      </c>
      <c r="I359" s="56">
        <f>SUM(F359:H359)</f>
        <v>579459.03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17519.12</v>
      </c>
      <c r="G360" s="63">
        <v>14967.92</v>
      </c>
      <c r="H360" s="63">
        <v>12157.58</v>
      </c>
      <c r="I360" s="56">
        <f>SUM(F360:H360)</f>
        <v>44644.62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269782.33</v>
      </c>
      <c r="G361" s="47">
        <f>SUM(G359:G360)</f>
        <v>153433.62000000002</v>
      </c>
      <c r="H361" s="47">
        <f>SUM(H359:H360)</f>
        <v>200887.69999999998</v>
      </c>
      <c r="I361" s="47">
        <f>SUM(I359:I360)</f>
        <v>624103.65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/>
      <c r="G455" s="18"/>
      <c r="H455" s="18">
        <v>121.67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29190309.140000001</v>
      </c>
      <c r="G458" s="18">
        <f>1266706.5+22369</f>
        <v>1289075.5</v>
      </c>
      <c r="H458" s="18">
        <f>3889603.41-22369</f>
        <v>3867234.41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29190309.140000001</v>
      </c>
      <c r="G460" s="53">
        <f>SUM(G458:G459)</f>
        <v>1289075.5</v>
      </c>
      <c r="H460" s="53">
        <f>SUM(H458:H459)</f>
        <v>3867234.41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29190309.140000001</v>
      </c>
      <c r="G462" s="18">
        <f>1225977+22369</f>
        <v>1248346</v>
      </c>
      <c r="H462" s="18">
        <f>3889603.41-22369</f>
        <v>3867234.41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29190309.140000001</v>
      </c>
      <c r="G464" s="53">
        <f>SUM(G462:G463)</f>
        <v>1248346</v>
      </c>
      <c r="H464" s="53">
        <f>SUM(H462:H463)</f>
        <v>3867234.41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40729.5</v>
      </c>
      <c r="H466" s="53">
        <f>(H455+H460)- H464</f>
        <v>121.66999999992549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1309487.5</v>
      </c>
      <c r="G511" s="18">
        <v>476995.33</v>
      </c>
      <c r="H511" s="18">
        <v>375006.18</v>
      </c>
      <c r="I511" s="18">
        <v>8245.42</v>
      </c>
      <c r="J511" s="18">
        <v>2413.98</v>
      </c>
      <c r="K511" s="18"/>
      <c r="L511" s="88">
        <f>SUM(F511:K511)</f>
        <v>2172148.41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706196.07</v>
      </c>
      <c r="G512" s="18">
        <v>272040.68</v>
      </c>
      <c r="H512" s="18">
        <v>113704.75</v>
      </c>
      <c r="I512" s="18">
        <v>10191.77</v>
      </c>
      <c r="J512" s="18">
        <v>369.28</v>
      </c>
      <c r="K512" s="18"/>
      <c r="L512" s="88">
        <f>SUM(F512:K512)</f>
        <v>1102502.55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781787.81</v>
      </c>
      <c r="G513" s="18">
        <v>295586.14</v>
      </c>
      <c r="H513" s="18">
        <v>472909.32</v>
      </c>
      <c r="I513" s="18">
        <v>3797.06</v>
      </c>
      <c r="J513" s="18">
        <v>1327.94</v>
      </c>
      <c r="K513" s="18"/>
      <c r="L513" s="88">
        <f>SUM(F513:K513)</f>
        <v>1555408.2700000003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2797471.38</v>
      </c>
      <c r="G514" s="108">
        <f t="shared" ref="G514:L514" si="35">SUM(G511:G513)</f>
        <v>1044622.15</v>
      </c>
      <c r="H514" s="108">
        <f t="shared" si="35"/>
        <v>961620.25</v>
      </c>
      <c r="I514" s="108">
        <f t="shared" si="35"/>
        <v>22234.250000000004</v>
      </c>
      <c r="J514" s="108">
        <f t="shared" si="35"/>
        <v>4111.2000000000007</v>
      </c>
      <c r="K514" s="108">
        <f t="shared" si="35"/>
        <v>0</v>
      </c>
      <c r="L514" s="89">
        <f t="shared" si="35"/>
        <v>4830059.2300000004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285007.24</v>
      </c>
      <c r="G516" s="18">
        <v>111152.82</v>
      </c>
      <c r="H516" s="18">
        <v>65</v>
      </c>
      <c r="I516" s="18">
        <v>803.44</v>
      </c>
      <c r="J516" s="18"/>
      <c r="K516" s="18"/>
      <c r="L516" s="88">
        <f>SUM(F516:K516)</f>
        <v>397028.5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37260</v>
      </c>
      <c r="G517" s="18">
        <v>14531.4</v>
      </c>
      <c r="H517" s="18">
        <v>19000</v>
      </c>
      <c r="I517" s="18">
        <v>401.73</v>
      </c>
      <c r="J517" s="18"/>
      <c r="K517" s="18"/>
      <c r="L517" s="88">
        <f>SUM(F517:K517)</f>
        <v>71193.12999999999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24840</v>
      </c>
      <c r="G518" s="18">
        <v>9687.6</v>
      </c>
      <c r="H518" s="18">
        <v>250</v>
      </c>
      <c r="I518" s="18">
        <v>620.84</v>
      </c>
      <c r="J518" s="18"/>
      <c r="K518" s="18"/>
      <c r="L518" s="88">
        <f>SUM(F518:K518)</f>
        <v>35398.439999999995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347107.24</v>
      </c>
      <c r="G519" s="89">
        <f t="shared" ref="G519:L519" si="36">SUM(G516:G518)</f>
        <v>135371.82</v>
      </c>
      <c r="H519" s="89">
        <f t="shared" si="36"/>
        <v>19315</v>
      </c>
      <c r="I519" s="89">
        <f t="shared" si="36"/>
        <v>1826.0100000000002</v>
      </c>
      <c r="J519" s="89">
        <f t="shared" si="36"/>
        <v>0</v>
      </c>
      <c r="K519" s="89">
        <f t="shared" si="36"/>
        <v>0</v>
      </c>
      <c r="L519" s="89">
        <f t="shared" si="36"/>
        <v>503620.07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72252</v>
      </c>
      <c r="G521" s="18">
        <v>28178.28</v>
      </c>
      <c r="H521" s="18">
        <v>1150</v>
      </c>
      <c r="I521" s="18"/>
      <c r="J521" s="18"/>
      <c r="K521" s="18">
        <v>670</v>
      </c>
      <c r="L521" s="88">
        <f>SUM(F521:K521)</f>
        <v>102250.28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72252</v>
      </c>
      <c r="G522" s="18">
        <v>28178.28</v>
      </c>
      <c r="H522" s="18">
        <v>1192.3900000000001</v>
      </c>
      <c r="I522" s="18"/>
      <c r="J522" s="18"/>
      <c r="K522" s="18">
        <v>700</v>
      </c>
      <c r="L522" s="88">
        <f>SUM(F522:K522)</f>
        <v>102322.67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72252</v>
      </c>
      <c r="G523" s="18">
        <v>28178.28</v>
      </c>
      <c r="H523" s="18">
        <v>221</v>
      </c>
      <c r="I523" s="18"/>
      <c r="J523" s="18"/>
      <c r="K523" s="18">
        <v>670</v>
      </c>
      <c r="L523" s="88">
        <f>SUM(F523:K523)</f>
        <v>101321.28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216756</v>
      </c>
      <c r="G524" s="89">
        <f t="shared" ref="G524:L524" si="37">SUM(G521:G523)</f>
        <v>84534.84</v>
      </c>
      <c r="H524" s="89">
        <f t="shared" si="37"/>
        <v>2563.3900000000003</v>
      </c>
      <c r="I524" s="89">
        <f t="shared" si="37"/>
        <v>0</v>
      </c>
      <c r="J524" s="89">
        <f t="shared" si="37"/>
        <v>0</v>
      </c>
      <c r="K524" s="89">
        <f t="shared" si="37"/>
        <v>2040</v>
      </c>
      <c r="L524" s="89">
        <f t="shared" si="37"/>
        <v>305894.23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93609.26</v>
      </c>
      <c r="I531" s="18"/>
      <c r="J531" s="18"/>
      <c r="K531" s="18"/>
      <c r="L531" s="88">
        <f>SUM(F531:K531)</f>
        <v>93609.26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31535.01</v>
      </c>
      <c r="I532" s="18"/>
      <c r="J532" s="18"/>
      <c r="K532" s="18"/>
      <c r="L532" s="88">
        <f>SUM(F532:K532)</f>
        <v>31535.01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107922.77</v>
      </c>
      <c r="I533" s="18"/>
      <c r="J533" s="18"/>
      <c r="K533" s="18"/>
      <c r="L533" s="88">
        <f>SUM(F533:K533)</f>
        <v>107922.77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233067.03999999998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233067.03999999998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3361334.62</v>
      </c>
      <c r="G535" s="89">
        <f t="shared" ref="G535:L535" si="40">G514+G519+G524+G529+G534</f>
        <v>1264528.81</v>
      </c>
      <c r="H535" s="89">
        <f t="shared" si="40"/>
        <v>1216565.68</v>
      </c>
      <c r="I535" s="89">
        <f t="shared" si="40"/>
        <v>24060.260000000002</v>
      </c>
      <c r="J535" s="89">
        <f t="shared" si="40"/>
        <v>4111.2000000000007</v>
      </c>
      <c r="K535" s="89">
        <f t="shared" si="40"/>
        <v>2040</v>
      </c>
      <c r="L535" s="89">
        <f t="shared" si="40"/>
        <v>5872640.5700000012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2172148.41</v>
      </c>
      <c r="G539" s="87">
        <f>L516</f>
        <v>397028.5</v>
      </c>
      <c r="H539" s="87">
        <f>L521</f>
        <v>102250.28</v>
      </c>
      <c r="I539" s="87">
        <f>L526</f>
        <v>0</v>
      </c>
      <c r="J539" s="87">
        <f>L531</f>
        <v>93609.26</v>
      </c>
      <c r="K539" s="87">
        <f>SUM(F539:J539)</f>
        <v>2765036.4499999997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1102502.55</v>
      </c>
      <c r="G540" s="87">
        <f>L517</f>
        <v>71193.12999999999</v>
      </c>
      <c r="H540" s="87">
        <f>L522</f>
        <v>102322.67</v>
      </c>
      <c r="I540" s="87">
        <f>L527</f>
        <v>0</v>
      </c>
      <c r="J540" s="87">
        <f>L532</f>
        <v>31535.01</v>
      </c>
      <c r="K540" s="87">
        <f>SUM(F540:J540)</f>
        <v>1307553.3599999999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1555408.2700000003</v>
      </c>
      <c r="G541" s="87">
        <f>L518</f>
        <v>35398.439999999995</v>
      </c>
      <c r="H541" s="87">
        <f>L523</f>
        <v>101321.28</v>
      </c>
      <c r="I541" s="87">
        <f>L528</f>
        <v>0</v>
      </c>
      <c r="J541" s="87">
        <f>L533</f>
        <v>107922.77</v>
      </c>
      <c r="K541" s="87">
        <f>SUM(F541:J541)</f>
        <v>1800050.7600000002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4830059.2300000004</v>
      </c>
      <c r="G542" s="89">
        <f t="shared" si="41"/>
        <v>503620.07</v>
      </c>
      <c r="H542" s="89">
        <f t="shared" si="41"/>
        <v>305894.23</v>
      </c>
      <c r="I542" s="89">
        <f t="shared" si="41"/>
        <v>0</v>
      </c>
      <c r="J542" s="89">
        <f t="shared" si="41"/>
        <v>233067.03999999998</v>
      </c>
      <c r="K542" s="89">
        <f t="shared" si="41"/>
        <v>5872640.5700000003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42016.45</v>
      </c>
      <c r="G569" s="18">
        <v>6468</v>
      </c>
      <c r="H569" s="18">
        <v>122054.57</v>
      </c>
      <c r="I569" s="87">
        <f t="shared" si="46"/>
        <v>170539.02000000002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108323.68</v>
      </c>
      <c r="G572" s="18">
        <v>34323.879999999997</v>
      </c>
      <c r="H572" s="18">
        <v>273879.58</v>
      </c>
      <c r="I572" s="87">
        <f t="shared" si="46"/>
        <v>416527.14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135945.07</v>
      </c>
      <c r="I581" s="18">
        <v>67972.539999999994</v>
      </c>
      <c r="J581" s="18">
        <v>105048.46</v>
      </c>
      <c r="K581" s="104">
        <f t="shared" ref="K581:K587" si="47">SUM(H581:J581)</f>
        <v>308966.07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93609.26</v>
      </c>
      <c r="I582" s="18">
        <v>31535.01</v>
      </c>
      <c r="J582" s="18">
        <f>107922.77</f>
        <v>107922.77</v>
      </c>
      <c r="K582" s="104">
        <f t="shared" si="47"/>
        <v>233067.03999999998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260.49</v>
      </c>
      <c r="K583" s="104">
        <f t="shared" si="47"/>
        <v>260.49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10344.81</v>
      </c>
      <c r="J584" s="18">
        <v>36685.71</v>
      </c>
      <c r="K584" s="104">
        <f t="shared" si="47"/>
        <v>47030.52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965</v>
      </c>
      <c r="I585" s="18">
        <v>2807.99</v>
      </c>
      <c r="J585" s="18">
        <v>3972.23</v>
      </c>
      <c r="K585" s="104">
        <f t="shared" si="47"/>
        <v>7745.2199999999993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230519.33000000002</v>
      </c>
      <c r="I588" s="108">
        <f>SUM(I581:I587)</f>
        <v>112660.34999999999</v>
      </c>
      <c r="J588" s="108">
        <f>SUM(J581:J587)</f>
        <v>253889.66</v>
      </c>
      <c r="K588" s="108">
        <f>SUM(K581:K587)</f>
        <v>597069.34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f>8620.4+178.35</f>
        <v>8798.75</v>
      </c>
      <c r="I593" s="18">
        <f>266.41+89.18</f>
        <v>355.59000000000003</v>
      </c>
      <c r="J593" s="18">
        <f>7031.28+137.81</f>
        <v>7169.09</v>
      </c>
      <c r="K593" s="104">
        <f>SUM(H593:J593)</f>
        <v>16323.43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58803.53+100955.95+0.02</f>
        <v>159759.49999999997</v>
      </c>
      <c r="I594" s="18">
        <f>42274.69+57499.49</f>
        <v>99774.18</v>
      </c>
      <c r="J594" s="18">
        <f>192845.03+12248</f>
        <v>205093.03</v>
      </c>
      <c r="K594" s="104">
        <f>SUM(H594:J594)</f>
        <v>464626.70999999996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168558.24999999997</v>
      </c>
      <c r="I595" s="108">
        <f>SUM(I592:I594)</f>
        <v>100129.76999999999</v>
      </c>
      <c r="J595" s="108">
        <f>SUM(J592:J594)</f>
        <v>212262.12</v>
      </c>
      <c r="K595" s="108">
        <f>SUM(K592:K594)</f>
        <v>480950.13999999996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28379.26</v>
      </c>
      <c r="G601" s="18">
        <v>11067.91</v>
      </c>
      <c r="H601" s="18">
        <v>7227.77</v>
      </c>
      <c r="I601" s="18">
        <v>481.89</v>
      </c>
      <c r="J601" s="18"/>
      <c r="K601" s="18"/>
      <c r="L601" s="88">
        <f>SUM(F601:K601)</f>
        <v>47156.83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14189.62</v>
      </c>
      <c r="G602" s="18">
        <v>5533.95</v>
      </c>
      <c r="H602" s="18">
        <v>3613.88</v>
      </c>
      <c r="I602" s="18">
        <v>240.94</v>
      </c>
      <c r="J602" s="18"/>
      <c r="K602" s="18"/>
      <c r="L602" s="88">
        <f>SUM(F602:K602)</f>
        <v>23578.39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21929.43</v>
      </c>
      <c r="G603" s="18">
        <v>8552.48</v>
      </c>
      <c r="H603" s="18">
        <v>5585.1</v>
      </c>
      <c r="I603" s="18">
        <v>372.37</v>
      </c>
      <c r="J603" s="18"/>
      <c r="K603" s="18"/>
      <c r="L603" s="88">
        <f>SUM(F603:K603)</f>
        <v>36439.380000000005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64498.31</v>
      </c>
      <c r="G604" s="108">
        <f t="shared" si="48"/>
        <v>25154.34</v>
      </c>
      <c r="H604" s="108">
        <f t="shared" si="48"/>
        <v>16426.75</v>
      </c>
      <c r="I604" s="108">
        <f t="shared" si="48"/>
        <v>1095.1999999999998</v>
      </c>
      <c r="J604" s="108">
        <f t="shared" si="48"/>
        <v>0</v>
      </c>
      <c r="K604" s="108">
        <f t="shared" si="48"/>
        <v>0</v>
      </c>
      <c r="L604" s="89">
        <f t="shared" si="48"/>
        <v>107174.6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2315795.8200000003</v>
      </c>
      <c r="H607" s="109">
        <f>SUM(F44)</f>
        <v>2315795.8200000003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87439.98</v>
      </c>
      <c r="H608" s="109">
        <f>SUM(G44)</f>
        <v>87439.98000000001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600153.82999999996</v>
      </c>
      <c r="H609" s="109">
        <f>SUM(H44)</f>
        <v>600153.83000000007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40729.5</v>
      </c>
      <c r="H613" s="109">
        <f>G466</f>
        <v>40729.5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121.67</v>
      </c>
      <c r="H614" s="109">
        <f>H466</f>
        <v>121.66999999992549</v>
      </c>
      <c r="I614" s="121" t="s">
        <v>110</v>
      </c>
      <c r="J614" s="109">
        <f t="shared" si="49"/>
        <v>7.4507511271804105E-11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29190309.140000004</v>
      </c>
      <c r="H617" s="104">
        <f>SUM(F458)</f>
        <v>29190309.140000001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1289075.5</v>
      </c>
      <c r="H618" s="104">
        <f>SUM(G458)</f>
        <v>1289075.5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3867234.41</v>
      </c>
      <c r="H619" s="104">
        <f>SUM(H458)</f>
        <v>3867234.41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29190309.139999997</v>
      </c>
      <c r="H622" s="104">
        <f>SUM(F462)</f>
        <v>29190309.140000001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3867234.41</v>
      </c>
      <c r="H623" s="104">
        <f>SUM(H462)</f>
        <v>3867234.41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624103.65</v>
      </c>
      <c r="H624" s="104">
        <f>I361</f>
        <v>624103.65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1248346</v>
      </c>
      <c r="H625" s="104">
        <f>SUM(G462)</f>
        <v>1248346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597069.34</v>
      </c>
      <c r="H637" s="104">
        <f>L200+L218+L236</f>
        <v>597069.34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480950.13999999996</v>
      </c>
      <c r="H638" s="104">
        <f>(J249+J330)-(J247+J328)</f>
        <v>480950.11999999994</v>
      </c>
      <c r="I638" s="140" t="s">
        <v>734</v>
      </c>
      <c r="J638" s="109">
        <f t="shared" si="49"/>
        <v>2.0000000018626451E-2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230519.33</v>
      </c>
      <c r="H639" s="104">
        <f>H588</f>
        <v>230519.33000000002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112660.35</v>
      </c>
      <c r="H640" s="104">
        <f>I588</f>
        <v>112660.34999999999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253889.66</v>
      </c>
      <c r="H641" s="104">
        <f>J588</f>
        <v>253889.66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1.9999995827674866E-2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12536836.250000002</v>
      </c>
      <c r="G650" s="19">
        <f>(L221+L301+L351)</f>
        <v>7171768.5199999986</v>
      </c>
      <c r="H650" s="19">
        <f>(L239+L320+L352)</f>
        <v>11584429.59</v>
      </c>
      <c r="I650" s="19">
        <f>SUM(F650:H650)</f>
        <v>31293034.359999999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222920.03669072181</v>
      </c>
      <c r="G651" s="19">
        <f>(L351/IF(SUM(L350:L352)=0,1,SUM(L350:L352))*(SUM(G89:G102)))</f>
        <v>142522.90116613315</v>
      </c>
      <c r="H651" s="19">
        <f>(L352/IF(SUM(L350:L352)=0,1,SUM(L350:L352))*(SUM(G89:G102)))</f>
        <v>151464.64214314512</v>
      </c>
      <c r="I651" s="19">
        <f>SUM(F651:H651)</f>
        <v>516907.58000000007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236396.78</v>
      </c>
      <c r="G652" s="19">
        <f>(L218+L298)-(J218+J298)</f>
        <v>115599.07</v>
      </c>
      <c r="H652" s="19">
        <f>(L236+L317)-(J236+J317)</f>
        <v>261611.16</v>
      </c>
      <c r="I652" s="19">
        <f>SUM(F652:H652)</f>
        <v>613607.01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366055.21</v>
      </c>
      <c r="G653" s="200">
        <f>SUM(G565:G577)+SUM(I592:I594)+L602</f>
        <v>164500.03999999998</v>
      </c>
      <c r="H653" s="200">
        <f>SUM(H565:H577)+SUM(J592:J594)+L603</f>
        <v>644635.65</v>
      </c>
      <c r="I653" s="19">
        <f>SUM(F653:H653)</f>
        <v>1175190.8999999999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11711464.22330928</v>
      </c>
      <c r="G654" s="19">
        <f>G650-SUM(G651:G653)</f>
        <v>6749146.5088338656</v>
      </c>
      <c r="H654" s="19">
        <f>H650-SUM(H651:H653)</f>
        <v>10526718.137856854</v>
      </c>
      <c r="I654" s="19">
        <f>I650-SUM(I651:I653)</f>
        <v>28987328.869999997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981.26</v>
      </c>
      <c r="G655" s="249">
        <v>487.87</v>
      </c>
      <c r="H655" s="249">
        <v>750.15</v>
      </c>
      <c r="I655" s="19">
        <f>SUM(F655:H655)</f>
        <v>2219.2800000000002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11935.13</v>
      </c>
      <c r="G657" s="19">
        <f>ROUND(G654/G655,2)</f>
        <v>13833.9</v>
      </c>
      <c r="H657" s="19">
        <f>ROUND(H654/H655,2)</f>
        <v>14032.82</v>
      </c>
      <c r="I657" s="19">
        <f>ROUND(I654/I655,2)</f>
        <v>13061.59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66.31</v>
      </c>
      <c r="I660" s="19">
        <f>SUM(F660:H660)</f>
        <v>66.31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11935.13</v>
      </c>
      <c r="G662" s="19">
        <f>ROUND((G654+G659)/(G655+G660),2)</f>
        <v>13833.9</v>
      </c>
      <c r="H662" s="19">
        <f>ROUND((H654+H659)/(H655+H660),2)</f>
        <v>12893.12</v>
      </c>
      <c r="I662" s="19">
        <f>ROUND((I654+I659)/(I655+I660),2)</f>
        <v>12682.65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E681-9B53-4277-B54A-5189D805DF1B}">
  <sheetPr>
    <tabColor indexed="20"/>
  </sheetPr>
  <dimension ref="A1:C52"/>
  <sheetViews>
    <sheetView workbookViewId="0">
      <selection activeCell="G48" sqref="G4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LACONIA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8961427.4100000001</v>
      </c>
      <c r="C9" s="230">
        <f>'DOE25'!G189+'DOE25'!G207+'DOE25'!G225+'DOE25'!G268+'DOE25'!G287+'DOE25'!G306</f>
        <v>3445532.73</v>
      </c>
    </row>
    <row r="10" spans="1:3" x14ac:dyDescent="0.2">
      <c r="A10" t="s">
        <v>813</v>
      </c>
      <c r="B10" s="241">
        <v>8605475.8300000001</v>
      </c>
      <c r="C10" s="241">
        <v>3307423.52</v>
      </c>
    </row>
    <row r="11" spans="1:3" x14ac:dyDescent="0.2">
      <c r="A11" t="s">
        <v>814</v>
      </c>
      <c r="B11" s="241">
        <v>112809.59</v>
      </c>
      <c r="C11" s="241">
        <v>43770.12</v>
      </c>
    </row>
    <row r="12" spans="1:3" x14ac:dyDescent="0.2">
      <c r="A12" t="s">
        <v>815</v>
      </c>
      <c r="B12" s="241">
        <v>243141.99</v>
      </c>
      <c r="C12" s="241">
        <v>94339.09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8961427.4100000001</v>
      </c>
      <c r="C13" s="232">
        <f>SUM(C10:C12)</f>
        <v>3445532.73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2911011.48</v>
      </c>
      <c r="C18" s="230">
        <f>'DOE25'!G190+'DOE25'!G208+'DOE25'!G226+'DOE25'!G269+'DOE25'!G288+'DOE25'!G307</f>
        <v>1171308.28</v>
      </c>
    </row>
    <row r="19" spans="1:3" x14ac:dyDescent="0.2">
      <c r="A19" t="s">
        <v>813</v>
      </c>
      <c r="B19" s="241">
        <v>1755245.2</v>
      </c>
      <c r="C19" s="241">
        <v>722870.98</v>
      </c>
    </row>
    <row r="20" spans="1:3" x14ac:dyDescent="0.2">
      <c r="A20" t="s">
        <v>814</v>
      </c>
      <c r="B20" s="241">
        <v>868621.13</v>
      </c>
      <c r="C20" s="241">
        <v>337024.99</v>
      </c>
    </row>
    <row r="21" spans="1:3" x14ac:dyDescent="0.2">
      <c r="A21" t="s">
        <v>815</v>
      </c>
      <c r="B21" s="241">
        <v>287145.15000000002</v>
      </c>
      <c r="C21" s="241">
        <v>111412.31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2911011.48</v>
      </c>
      <c r="C22" s="232">
        <f>SUM(C19:C21)</f>
        <v>1171308.28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1070462.8799999999</v>
      </c>
      <c r="C27" s="235">
        <f>'DOE25'!G191+'DOE25'!G209+'DOE25'!G227+'DOE25'!G270+'DOE25'!G289+'DOE25'!G308</f>
        <v>351408.66</v>
      </c>
    </row>
    <row r="28" spans="1:3" x14ac:dyDescent="0.2">
      <c r="A28" t="s">
        <v>813</v>
      </c>
      <c r="B28" s="241">
        <v>889691.88</v>
      </c>
      <c r="C28" s="241">
        <v>281269.52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>
        <v>180771</v>
      </c>
      <c r="C30" s="241">
        <v>70139.14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1070462.8799999999</v>
      </c>
      <c r="C31" s="232">
        <f>SUM(C28:C30)</f>
        <v>351408.66000000003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226753.5</v>
      </c>
      <c r="C36" s="236">
        <f>'DOE25'!G192+'DOE25'!G210+'DOE25'!G228+'DOE25'!G271+'DOE25'!G290+'DOE25'!G309</f>
        <v>86514.72</v>
      </c>
    </row>
    <row r="37" spans="1:3" x14ac:dyDescent="0.2">
      <c r="A37" t="s">
        <v>813</v>
      </c>
      <c r="B37" s="241">
        <v>226753.5</v>
      </c>
      <c r="C37" s="241">
        <v>86514.72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226753.5</v>
      </c>
      <c r="C40" s="232">
        <f>SUM(C37:C39)</f>
        <v>86514.72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CB50-DCBD-46C3-A50E-A028C09DDDEF}">
  <sheetPr>
    <tabColor indexed="11"/>
  </sheetPr>
  <dimension ref="A1:I51"/>
  <sheetViews>
    <sheetView workbookViewId="0">
      <pane ySplit="4" topLeftCell="A5" activePane="bottomLeft" state="frozen"/>
      <selection pane="bottomLeft" activeCell="F39" sqref="F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LACONIA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17618910.68</v>
      </c>
      <c r="D5" s="20">
        <f>SUM('DOE25'!L189:L192)+SUM('DOE25'!L207:L210)+SUM('DOE25'!L225:L228)-F5-G5</f>
        <v>17556493.110000003</v>
      </c>
      <c r="E5" s="244"/>
      <c r="F5" s="256">
        <f>SUM('DOE25'!J189:J192)+SUM('DOE25'!J207:J210)+SUM('DOE25'!J225:J228)</f>
        <v>60082.739999999991</v>
      </c>
      <c r="G5" s="53">
        <f>SUM('DOE25'!K189:K192)+SUM('DOE25'!K207:K210)+SUM('DOE25'!K225:K228)</f>
        <v>2334.83</v>
      </c>
      <c r="H5" s="260"/>
    </row>
    <row r="6" spans="1:9" x14ac:dyDescent="0.2">
      <c r="A6" s="32">
        <v>2100</v>
      </c>
      <c r="B6" t="s">
        <v>835</v>
      </c>
      <c r="C6" s="246">
        <f t="shared" si="0"/>
        <v>1790268.85</v>
      </c>
      <c r="D6" s="20">
        <f>'DOE25'!L194+'DOE25'!L212+'DOE25'!L230-F6-G6</f>
        <v>1789865.1</v>
      </c>
      <c r="E6" s="244"/>
      <c r="F6" s="256">
        <f>'DOE25'!J194+'DOE25'!J212+'DOE25'!J230</f>
        <v>283.75</v>
      </c>
      <c r="G6" s="53">
        <f>'DOE25'!K194+'DOE25'!K212+'DOE25'!K230</f>
        <v>120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1055894.8600000001</v>
      </c>
      <c r="D7" s="20">
        <f>'DOE25'!L195+'DOE25'!L213+'DOE25'!L231-F7-G7</f>
        <v>970667.15000000014</v>
      </c>
      <c r="E7" s="244"/>
      <c r="F7" s="256">
        <f>'DOE25'!J195+'DOE25'!J213+'DOE25'!J231</f>
        <v>85227.71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399778.06000000006</v>
      </c>
      <c r="D8" s="244"/>
      <c r="E8" s="20">
        <f>'DOE25'!L196+'DOE25'!L214+'DOE25'!L232-F8-G8-D9-D11</f>
        <v>361232.48000000004</v>
      </c>
      <c r="F8" s="256">
        <f>'DOE25'!J196+'DOE25'!J214+'DOE25'!J232</f>
        <v>0</v>
      </c>
      <c r="G8" s="53">
        <f>'DOE25'!K196+'DOE25'!K214+'DOE25'!K232</f>
        <v>38545.579999999994</v>
      </c>
      <c r="H8" s="260"/>
    </row>
    <row r="9" spans="1:9" x14ac:dyDescent="0.2">
      <c r="A9" s="32">
        <v>2310</v>
      </c>
      <c r="B9" t="s">
        <v>852</v>
      </c>
      <c r="C9" s="246">
        <f t="shared" si="0"/>
        <v>22609.49</v>
      </c>
      <c r="D9" s="245">
        <v>22609.49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20225</v>
      </c>
      <c r="D10" s="244"/>
      <c r="E10" s="245">
        <v>20225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361646.81</v>
      </c>
      <c r="D11" s="245">
        <v>361646.81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1641966.67</v>
      </c>
      <c r="D12" s="20">
        <f>'DOE25'!L197+'DOE25'!L215+'DOE25'!L233-F12-G12</f>
        <v>1628741.73</v>
      </c>
      <c r="E12" s="244"/>
      <c r="F12" s="256">
        <f>'DOE25'!J197+'DOE25'!J215+'DOE25'!J233</f>
        <v>0</v>
      </c>
      <c r="G12" s="53">
        <f>'DOE25'!K197+'DOE25'!K215+'DOE25'!K233</f>
        <v>13224.939999999999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416199.61</v>
      </c>
      <c r="D13" s="244"/>
      <c r="E13" s="20">
        <f>'DOE25'!L198+'DOE25'!L216+'DOE25'!L234-F13-G13</f>
        <v>414403.61</v>
      </c>
      <c r="F13" s="256">
        <f>'DOE25'!J198+'DOE25'!J216+'DOE25'!J234</f>
        <v>1796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2461929.5300000003</v>
      </c>
      <c r="D14" s="20">
        <f>'DOE25'!L199+'DOE25'!L217+'DOE25'!L235-F14-G14</f>
        <v>2446011.4400000004</v>
      </c>
      <c r="E14" s="244"/>
      <c r="F14" s="256">
        <f>'DOE25'!J199+'DOE25'!J217+'DOE25'!J235</f>
        <v>15918.09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597069.34</v>
      </c>
      <c r="D15" s="20">
        <f>'DOE25'!L200+'DOE25'!L218+'DOE25'!L236-F15-G15</f>
        <v>597069.34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205667.74000000002</v>
      </c>
      <c r="D17" s="20">
        <f>'DOE25'!L243-F17-G17</f>
        <v>190674.24000000002</v>
      </c>
      <c r="E17" s="244"/>
      <c r="F17" s="256">
        <f>'DOE25'!J243</f>
        <v>12248</v>
      </c>
      <c r="G17" s="53">
        <f>'DOE25'!K243</f>
        <v>2745.5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2618367.5</v>
      </c>
      <c r="D25" s="244"/>
      <c r="E25" s="244"/>
      <c r="F25" s="259"/>
      <c r="G25" s="257"/>
      <c r="H25" s="258">
        <f>'DOE25'!L252+'DOE25'!L253+'DOE25'!L333+'DOE25'!L334</f>
        <v>2618367.5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668886.97</v>
      </c>
      <c r="D29" s="20">
        <f>'DOE25'!L350+'DOE25'!L351+'DOE25'!L352-'DOE25'!I359-F29-G29</f>
        <v>640764.02</v>
      </c>
      <c r="E29" s="244"/>
      <c r="F29" s="256">
        <f>'DOE25'!J350+'DOE25'!J351+'DOE25'!J352</f>
        <v>28122.950000000004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3867234.41</v>
      </c>
      <c r="D31" s="20">
        <f>'DOE25'!L282+'DOE25'!L301+'DOE25'!L320+'DOE25'!L325+'DOE25'!L326+'DOE25'!L327-F31-G31</f>
        <v>3551371.37</v>
      </c>
      <c r="E31" s="244"/>
      <c r="F31" s="256">
        <f>'DOE25'!J282+'DOE25'!J301+'DOE25'!J320+'DOE25'!J325+'DOE25'!J326+'DOE25'!J327</f>
        <v>305393.82999999996</v>
      </c>
      <c r="G31" s="53">
        <f>'DOE25'!K282+'DOE25'!K301+'DOE25'!K320+'DOE25'!K325+'DOE25'!K326+'DOE25'!K327</f>
        <v>10469.209999999999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29755913.800000001</v>
      </c>
      <c r="E33" s="247">
        <f>SUM(E5:E31)</f>
        <v>795861.09000000008</v>
      </c>
      <c r="F33" s="247">
        <f>SUM(F5:F31)</f>
        <v>509073.06999999995</v>
      </c>
      <c r="G33" s="247">
        <f>SUM(G5:G31)</f>
        <v>67440.06</v>
      </c>
      <c r="H33" s="247">
        <f>SUM(H5:H31)</f>
        <v>2618367.5</v>
      </c>
    </row>
    <row r="35" spans="2:8" ht="12" thickBot="1" x14ac:dyDescent="0.25">
      <c r="B35" s="254" t="s">
        <v>881</v>
      </c>
      <c r="D35" s="255">
        <f>E33</f>
        <v>795861.09000000008</v>
      </c>
      <c r="E35" s="250"/>
    </row>
    <row r="36" spans="2:8" ht="12" thickTop="1" x14ac:dyDescent="0.2">
      <c r="B36" t="s">
        <v>849</v>
      </c>
      <c r="D36" s="20">
        <f>D33</f>
        <v>29755913.800000001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8222-DAE3-45D4-88D8-75D58AFFF08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I54" sqref="I54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LACONIA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200</v>
      </c>
      <c r="D9" s="95">
        <f>'DOE25'!G9</f>
        <v>350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2078400.94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187736.76</v>
      </c>
      <c r="D13" s="95">
        <f>'DOE25'!G13</f>
        <v>55962.53</v>
      </c>
      <c r="E13" s="95">
        <f>'DOE25'!H13</f>
        <v>598974.47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12644.85</v>
      </c>
      <c r="D14" s="95">
        <f>'DOE25'!G14</f>
        <v>909.45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30218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36813.269999999997</v>
      </c>
      <c r="D17" s="95">
        <f>'DOE25'!G17</f>
        <v>0</v>
      </c>
      <c r="E17" s="95">
        <f>'DOE25'!H17</f>
        <v>1179.3599999999999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2315795.8200000003</v>
      </c>
      <c r="D19" s="41">
        <f>SUM(D9:D18)</f>
        <v>87439.98</v>
      </c>
      <c r="E19" s="41">
        <f>SUM(E9:E18)</f>
        <v>600153.82999999996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-497834.79</v>
      </c>
      <c r="D22" s="95">
        <f>'DOE25'!G23</f>
        <v>35645.480000000003</v>
      </c>
      <c r="E22" s="95">
        <f>'DOE25'!H23</f>
        <v>462189.31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45081.86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1426930.36</v>
      </c>
      <c r="D24" s="95">
        <f>'DOE25'!G25</f>
        <v>353.5</v>
      </c>
      <c r="E24" s="95">
        <f>'DOE25'!H25</f>
        <v>24978.959999999999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1034187.65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6770.99</v>
      </c>
      <c r="D30" s="95">
        <f>'DOE25'!G31</f>
        <v>0</v>
      </c>
      <c r="E30" s="95">
        <f>'DOE25'!H31</f>
        <v>112863.89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300659.75</v>
      </c>
      <c r="D31" s="95">
        <f>'DOE25'!G32</f>
        <v>10711.5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2315795.8200000003</v>
      </c>
      <c r="D32" s="41">
        <f>SUM(D22:D31)</f>
        <v>46710.48</v>
      </c>
      <c r="E32" s="41">
        <f>SUM(E22:E31)</f>
        <v>600032.16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58.77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40729.5</v>
      </c>
      <c r="E40" s="95">
        <f>'DOE25'!H41</f>
        <v>62.9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40729.5</v>
      </c>
      <c r="E42" s="41">
        <f>SUM(E34:E41)</f>
        <v>121.67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2315795.8200000003</v>
      </c>
      <c r="D43" s="41">
        <f>D42+D32</f>
        <v>87439.98000000001</v>
      </c>
      <c r="E43" s="41">
        <f>E42+E32</f>
        <v>600153.83000000007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15444717.050000001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366487.19</v>
      </c>
      <c r="D49" s="24" t="s">
        <v>312</v>
      </c>
      <c r="E49" s="95">
        <f>'DOE25'!H71</f>
        <v>81826.8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516907.58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8179</v>
      </c>
      <c r="D53" s="95">
        <f>SUM('DOE25'!G90:G102)</f>
        <v>0</v>
      </c>
      <c r="E53" s="95">
        <f>SUM('DOE25'!H90:H102)</f>
        <v>245251.65999999997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374666.19</v>
      </c>
      <c r="D54" s="130">
        <f>SUM(D49:D53)</f>
        <v>516907.58</v>
      </c>
      <c r="E54" s="130">
        <f>SUM(E49:E53)</f>
        <v>327078.45999999996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15819383.24</v>
      </c>
      <c r="D55" s="22">
        <f>D48+D54</f>
        <v>516907.58</v>
      </c>
      <c r="E55" s="22">
        <f>E48+E54</f>
        <v>327078.45999999996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4669384.55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4856348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1791498.45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50883.29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11317231</v>
      </c>
      <c r="D62" s="139">
        <f>D61</f>
        <v>50883.29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816713.09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196864.55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668671.31999999995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15450</v>
      </c>
      <c r="D69" s="95">
        <f>SUM('DOE25'!G123:G127)</f>
        <v>15551.61</v>
      </c>
      <c r="E69" s="95">
        <f>SUM('DOE25'!H123:H127)</f>
        <v>122636.48000000001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1697698.96</v>
      </c>
      <c r="D70" s="130">
        <f>SUM(D64:D69)</f>
        <v>15551.61</v>
      </c>
      <c r="E70" s="130">
        <f>SUM(E64:E69)</f>
        <v>122636.48000000001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13014929.960000001</v>
      </c>
      <c r="D73" s="130">
        <f>SUM(D71:D72)+D70+D62</f>
        <v>66434.899999999994</v>
      </c>
      <c r="E73" s="130">
        <f>SUM(E71:E72)+E70+E62</f>
        <v>122636.48000000001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355995.94</v>
      </c>
      <c r="D80" s="95">
        <f>SUM('DOE25'!G145:G153)</f>
        <v>705733.02</v>
      </c>
      <c r="E80" s="95">
        <f>SUM('DOE25'!H145:H153)</f>
        <v>3417519.47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355995.94</v>
      </c>
      <c r="D83" s="131">
        <f>SUM(D77:D82)</f>
        <v>705733.02</v>
      </c>
      <c r="E83" s="131">
        <f>SUM(E77:E82)</f>
        <v>3417519.47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29190309.140000004</v>
      </c>
      <c r="D96" s="86">
        <f>D55+D73+D83+D95</f>
        <v>1289075.5</v>
      </c>
      <c r="E96" s="86">
        <f>E55+E73+E83+E95</f>
        <v>3867234.41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11089685.32</v>
      </c>
      <c r="D101" s="24" t="s">
        <v>312</v>
      </c>
      <c r="E101" s="95">
        <f>('DOE25'!L268)+('DOE25'!L287)+('DOE25'!L306)</f>
        <v>2304562.6300000004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4720616.51</v>
      </c>
      <c r="D102" s="24" t="s">
        <v>312</v>
      </c>
      <c r="E102" s="95">
        <f>('DOE25'!L269)+('DOE25'!L288)+('DOE25'!L307)</f>
        <v>352031.19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1422330.9200000002</v>
      </c>
      <c r="D103" s="24" t="s">
        <v>312</v>
      </c>
      <c r="E103" s="95">
        <f>('DOE25'!L270)+('DOE25'!L289)+('DOE25'!L308)</f>
        <v>177533.07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386277.93</v>
      </c>
      <c r="D104" s="24" t="s">
        <v>312</v>
      </c>
      <c r="E104" s="95">
        <f>+('DOE25'!L271)+('DOE25'!L290)+('DOE25'!L309)</f>
        <v>15004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205667.74000000002</v>
      </c>
      <c r="D106" s="24" t="s">
        <v>312</v>
      </c>
      <c r="E106" s="95">
        <f>+ SUM('DOE25'!L325:L327)</f>
        <v>188819.95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17824578.419999998</v>
      </c>
      <c r="D107" s="86">
        <f>SUM(D101:D106)</f>
        <v>0</v>
      </c>
      <c r="E107" s="86">
        <f>SUM(E101:E106)</f>
        <v>3037950.8400000003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1790268.85</v>
      </c>
      <c r="D110" s="24" t="s">
        <v>312</v>
      </c>
      <c r="E110" s="95">
        <f>+('DOE25'!L273)+('DOE25'!L292)+('DOE25'!L311)</f>
        <v>252859.92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1055894.8600000001</v>
      </c>
      <c r="D111" s="24" t="s">
        <v>312</v>
      </c>
      <c r="E111" s="95">
        <f>+('DOE25'!L274)+('DOE25'!L293)+('DOE25'!L312)</f>
        <v>543586.51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784034.36</v>
      </c>
      <c r="D112" s="24" t="s">
        <v>312</v>
      </c>
      <c r="E112" s="95">
        <f>+('DOE25'!L275)+('DOE25'!L294)+('DOE25'!L313)</f>
        <v>2329.52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1641966.67</v>
      </c>
      <c r="D113" s="24" t="s">
        <v>312</v>
      </c>
      <c r="E113" s="95">
        <f>+('DOE25'!L276)+('DOE25'!L295)+('DOE25'!L314)</f>
        <v>13564.609999999999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416199.61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2461929.5300000003</v>
      </c>
      <c r="D115" s="24" t="s">
        <v>312</v>
      </c>
      <c r="E115" s="95">
        <f>+('DOE25'!L278)+('DOE25'!L297)+('DOE25'!L316)</f>
        <v>405.34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597069.34</v>
      </c>
      <c r="D116" s="24" t="s">
        <v>312</v>
      </c>
      <c r="E116" s="95">
        <f>+('DOE25'!L279)+('DOE25'!L298)+('DOE25'!L317)</f>
        <v>16537.669999999998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1248346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8747363.2200000007</v>
      </c>
      <c r="D120" s="86">
        <f>SUM(D110:D119)</f>
        <v>1248346</v>
      </c>
      <c r="E120" s="86">
        <f>SUM(E110:E119)</f>
        <v>829283.57000000007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2131178.42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487189.08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2618367.5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29190309.140000001</v>
      </c>
      <c r="D137" s="86">
        <f>(D107+D120+D136)</f>
        <v>1248346</v>
      </c>
      <c r="E137" s="86">
        <f>(E107+E120+E136)</f>
        <v>3867234.41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C7AA-9EE1-460D-90FA-584D73B9232F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LACONIA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11935</v>
      </c>
    </row>
    <row r="5" spans="1:4" x14ac:dyDescent="0.2">
      <c r="B5" t="s">
        <v>735</v>
      </c>
      <c r="C5" s="179">
        <f>IF('DOE25'!G655+'DOE25'!G660=0,0,ROUND('DOE25'!G662,0))</f>
        <v>13834</v>
      </c>
    </row>
    <row r="6" spans="1:4" x14ac:dyDescent="0.2">
      <c r="B6" t="s">
        <v>62</v>
      </c>
      <c r="C6" s="179">
        <f>IF('DOE25'!H655+'DOE25'!H660=0,0,ROUND('DOE25'!H662,0))</f>
        <v>12893</v>
      </c>
    </row>
    <row r="7" spans="1:4" x14ac:dyDescent="0.2">
      <c r="B7" t="s">
        <v>736</v>
      </c>
      <c r="C7" s="179">
        <f>IF('DOE25'!I655+'DOE25'!I660=0,0,ROUND('DOE25'!I662,0))</f>
        <v>12683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13394248</v>
      </c>
      <c r="D10" s="182">
        <f>ROUND((C10/$C$28)*100,1)</f>
        <v>42.3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5072648</v>
      </c>
      <c r="D11" s="182">
        <f>ROUND((C11/$C$28)*100,1)</f>
        <v>16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1599864</v>
      </c>
      <c r="D12" s="182">
        <f>ROUND((C12/$C$28)*100,1)</f>
        <v>5.0999999999999996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401282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2043129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1599481</v>
      </c>
      <c r="D16" s="182">
        <f t="shared" si="0"/>
        <v>5.0999999999999996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786364</v>
      </c>
      <c r="D17" s="182">
        <f t="shared" si="0"/>
        <v>2.5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1655531</v>
      </c>
      <c r="D18" s="182">
        <f t="shared" si="0"/>
        <v>5.2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416200</v>
      </c>
      <c r="D19" s="182">
        <f t="shared" si="0"/>
        <v>1.3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2462335</v>
      </c>
      <c r="D20" s="182">
        <f t="shared" si="0"/>
        <v>7.8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613607</v>
      </c>
      <c r="D21" s="182">
        <f t="shared" si="0"/>
        <v>1.9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394488</v>
      </c>
      <c r="D24" s="182">
        <f t="shared" si="0"/>
        <v>1.2</v>
      </c>
    </row>
    <row r="25" spans="1:4" x14ac:dyDescent="0.2">
      <c r="A25">
        <v>5120</v>
      </c>
      <c r="B25" t="s">
        <v>751</v>
      </c>
      <c r="C25" s="179">
        <f>ROUND('DOE25'!L253+'DOE25'!L334,0)</f>
        <v>487189</v>
      </c>
      <c r="D25" s="182">
        <f t="shared" si="0"/>
        <v>1.5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731438.41999999993</v>
      </c>
      <c r="D27" s="182">
        <f t="shared" si="0"/>
        <v>2.2999999999999998</v>
      </c>
    </row>
    <row r="28" spans="1:4" x14ac:dyDescent="0.2">
      <c r="B28" s="187" t="s">
        <v>754</v>
      </c>
      <c r="C28" s="180">
        <f>SUM(C10:C27)</f>
        <v>31657804.420000002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31657804.420000002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2131178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15444717</v>
      </c>
      <c r="D35" s="182">
        <f t="shared" ref="D35:D40" si="1">ROUND((C35/$C$41)*100,1)</f>
        <v>45.7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701744.70000000112</v>
      </c>
      <c r="D36" s="182">
        <f t="shared" si="1"/>
        <v>2.1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9525733</v>
      </c>
      <c r="D37" s="182">
        <f t="shared" si="1"/>
        <v>28.2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3678269</v>
      </c>
      <c r="D38" s="182">
        <f t="shared" si="1"/>
        <v>10.9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4479248</v>
      </c>
      <c r="D39" s="182">
        <f t="shared" si="1"/>
        <v>13.2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33829711.700000003</v>
      </c>
      <c r="D41" s="184">
        <f>SUM(D35:D40)</f>
        <v>100.10000000000001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2D70-245E-44CD-8E99-0E336A90B372}">
  <sheetPr>
    <tabColor indexed="17"/>
  </sheetPr>
  <dimension ref="A1:IV90"/>
  <sheetViews>
    <sheetView workbookViewId="0">
      <pane ySplit="3" topLeftCell="A4" activePane="bottomLeft" state="frozen"/>
      <selection pane="bottomLeft" activeCell="Q37" sqref="Q3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LACONIA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2010-11-16T19:21:25Z</cp:lastPrinted>
  <dcterms:created xsi:type="dcterms:W3CDTF">1997-12-04T19:04:30Z</dcterms:created>
  <dcterms:modified xsi:type="dcterms:W3CDTF">2025-01-02T14:53:38Z</dcterms:modified>
</cp:coreProperties>
</file>