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B75F9B3C-93E5-49A9-B833-5D49E3DFB053}" xr6:coauthVersionLast="47" xr6:coauthVersionMax="47" xr10:uidLastSave="{00000000-0000-0000-0000-000000000000}"/>
  <workbookProtection workbookPassword="B70A" lockStructure="1"/>
  <bookViews>
    <workbookView xWindow="2595" yWindow="2595" windowWidth="21600" windowHeight="11505" tabRatio="855" xr2:uid="{19BC21D5-329B-4C86-A4DC-F9706E8FE3D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12" i="1"/>
  <c r="G603" i="1"/>
  <c r="G601" i="1"/>
  <c r="H518" i="1"/>
  <c r="F513" i="1"/>
  <c r="F512" i="1"/>
  <c r="H513" i="1"/>
  <c r="H517" i="1"/>
  <c r="H516" i="1"/>
  <c r="F511" i="1"/>
  <c r="H232" i="1"/>
  <c r="H226" i="1"/>
  <c r="H214" i="1"/>
  <c r="H196" i="1"/>
  <c r="H208" i="1"/>
  <c r="H190" i="1"/>
  <c r="I511" i="1"/>
  <c r="J511" i="1"/>
  <c r="J516" i="1"/>
  <c r="I516" i="1"/>
  <c r="I519" i="1" s="1"/>
  <c r="F518" i="1"/>
  <c r="L518" i="1" s="1"/>
  <c r="G541" i="1" s="1"/>
  <c r="H511" i="1"/>
  <c r="I513" i="1"/>
  <c r="I514" i="1" s="1"/>
  <c r="I535" i="1" s="1"/>
  <c r="I512" i="1"/>
  <c r="G513" i="1"/>
  <c r="G512" i="1"/>
  <c r="G511" i="1"/>
  <c r="I518" i="1"/>
  <c r="I517" i="1"/>
  <c r="G516" i="1"/>
  <c r="G518" i="1"/>
  <c r="G517" i="1"/>
  <c r="F517" i="1"/>
  <c r="F519" i="1" s="1"/>
  <c r="F535" i="1" s="1"/>
  <c r="F516" i="1"/>
  <c r="H531" i="1"/>
  <c r="L531" i="1" s="1"/>
  <c r="H13" i="1"/>
  <c r="H455" i="1"/>
  <c r="H23" i="1"/>
  <c r="H146" i="1"/>
  <c r="H151" i="1"/>
  <c r="J594" i="1"/>
  <c r="H594" i="1"/>
  <c r="I312" i="1"/>
  <c r="H306" i="1"/>
  <c r="J268" i="1"/>
  <c r="J282" i="1" s="1"/>
  <c r="I268" i="1"/>
  <c r="H268" i="1"/>
  <c r="H282" i="1" s="1"/>
  <c r="H330" i="1" s="1"/>
  <c r="H344" i="1" s="1"/>
  <c r="G268" i="1"/>
  <c r="F268" i="1"/>
  <c r="L268" i="1" s="1"/>
  <c r="J269" i="1"/>
  <c r="I269" i="1"/>
  <c r="H307" i="1"/>
  <c r="H288" i="1"/>
  <c r="H269" i="1"/>
  <c r="F307" i="1"/>
  <c r="H325" i="1"/>
  <c r="H329" i="1" s="1"/>
  <c r="I325" i="1"/>
  <c r="I329" i="1" s="1"/>
  <c r="I306" i="1"/>
  <c r="F306" i="1"/>
  <c r="L306" i="1" s="1"/>
  <c r="L320" i="1" s="1"/>
  <c r="H274" i="1"/>
  <c r="F269" i="1"/>
  <c r="L269" i="1" s="1"/>
  <c r="E102" i="2" s="1"/>
  <c r="F287" i="1"/>
  <c r="I274" i="1"/>
  <c r="G325" i="1"/>
  <c r="F325" i="1"/>
  <c r="F329" i="1" s="1"/>
  <c r="L329" i="1" s="1"/>
  <c r="G306" i="1"/>
  <c r="J88" i="1"/>
  <c r="G432" i="1"/>
  <c r="G438" i="1" s="1"/>
  <c r="G630" i="1" s="1"/>
  <c r="F432" i="1"/>
  <c r="F438" i="1" s="1"/>
  <c r="G629" i="1" s="1"/>
  <c r="H25" i="1"/>
  <c r="I287" i="1"/>
  <c r="I301" i="1" s="1"/>
  <c r="I330" i="1" s="1"/>
  <c r="I344" i="1" s="1"/>
  <c r="G290" i="1"/>
  <c r="I290" i="1"/>
  <c r="L290" i="1" s="1"/>
  <c r="I231" i="1"/>
  <c r="I195" i="1"/>
  <c r="H153" i="1"/>
  <c r="H149" i="1"/>
  <c r="L381" i="1"/>
  <c r="L384" i="1"/>
  <c r="L379" i="1"/>
  <c r="L385" i="1" s="1"/>
  <c r="L380" i="1"/>
  <c r="L382" i="1"/>
  <c r="L383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J103" i="1"/>
  <c r="J52" i="1"/>
  <c r="J104" i="1" s="1"/>
  <c r="J185" i="1" s="1"/>
  <c r="J175" i="1"/>
  <c r="J184" i="1"/>
  <c r="J113" i="1"/>
  <c r="J132" i="1" s="1"/>
  <c r="J128" i="1"/>
  <c r="G488" i="1"/>
  <c r="F488" i="1"/>
  <c r="L410" i="1"/>
  <c r="L405" i="1"/>
  <c r="L406" i="1"/>
  <c r="L407" i="1"/>
  <c r="L408" i="1"/>
  <c r="L409" i="1"/>
  <c r="L411" i="1"/>
  <c r="L413" i="1"/>
  <c r="L419" i="1" s="1"/>
  <c r="L426" i="1" s="1"/>
  <c r="L414" i="1"/>
  <c r="L415" i="1"/>
  <c r="L416" i="1"/>
  <c r="L417" i="1"/>
  <c r="L418" i="1"/>
  <c r="L421" i="1"/>
  <c r="L422" i="1"/>
  <c r="L423" i="1"/>
  <c r="L424" i="1"/>
  <c r="L425" i="1"/>
  <c r="L366" i="1"/>
  <c r="L374" i="1" s="1"/>
  <c r="L367" i="1"/>
  <c r="L368" i="1"/>
  <c r="L369" i="1"/>
  <c r="L370" i="1"/>
  <c r="L371" i="1"/>
  <c r="L372" i="1"/>
  <c r="L373" i="1"/>
  <c r="L274" i="1"/>
  <c r="L271" i="1"/>
  <c r="E104" i="2" s="1"/>
  <c r="L270" i="1"/>
  <c r="L273" i="1"/>
  <c r="L275" i="1"/>
  <c r="L276" i="1"/>
  <c r="L277" i="1"/>
  <c r="L278" i="1"/>
  <c r="L279" i="1"/>
  <c r="L280" i="1"/>
  <c r="L287" i="1"/>
  <c r="L301" i="1" s="1"/>
  <c r="L293" i="1"/>
  <c r="L288" i="1"/>
  <c r="L289" i="1"/>
  <c r="L292" i="1"/>
  <c r="L294" i="1"/>
  <c r="L295" i="1"/>
  <c r="L296" i="1"/>
  <c r="L297" i="1"/>
  <c r="L298" i="1"/>
  <c r="L299" i="1"/>
  <c r="L311" i="1"/>
  <c r="E110" i="2" s="1"/>
  <c r="E120" i="2" s="1"/>
  <c r="L312" i="1"/>
  <c r="L307" i="1"/>
  <c r="L308" i="1"/>
  <c r="L309" i="1"/>
  <c r="L313" i="1"/>
  <c r="L314" i="1"/>
  <c r="L315" i="1"/>
  <c r="L316" i="1"/>
  <c r="E115" i="2" s="1"/>
  <c r="L317" i="1"/>
  <c r="L318" i="1"/>
  <c r="G329" i="1"/>
  <c r="K329" i="1"/>
  <c r="J329" i="1"/>
  <c r="L350" i="1"/>
  <c r="G651" i="1" s="1"/>
  <c r="L351" i="1"/>
  <c r="L352" i="1"/>
  <c r="H651" i="1" s="1"/>
  <c r="L353" i="1"/>
  <c r="K262" i="1"/>
  <c r="F262" i="1"/>
  <c r="G262" i="1"/>
  <c r="H262" i="1"/>
  <c r="I262" i="1"/>
  <c r="J262" i="1"/>
  <c r="L262" i="1"/>
  <c r="F195" i="1"/>
  <c r="G195" i="1"/>
  <c r="L195" i="1" s="1"/>
  <c r="H195" i="1"/>
  <c r="J195" i="1"/>
  <c r="F190" i="1"/>
  <c r="B18" i="12" s="1"/>
  <c r="A22" i="12" s="1"/>
  <c r="G190" i="1"/>
  <c r="I190" i="1"/>
  <c r="J190" i="1"/>
  <c r="F196" i="1"/>
  <c r="L196" i="1" s="1"/>
  <c r="G196" i="1"/>
  <c r="I196" i="1"/>
  <c r="K196" i="1"/>
  <c r="G8" i="13" s="1"/>
  <c r="F189" i="1"/>
  <c r="L189" i="1" s="1"/>
  <c r="G189" i="1"/>
  <c r="H189" i="1"/>
  <c r="I189" i="1"/>
  <c r="J189" i="1"/>
  <c r="L191" i="1"/>
  <c r="G192" i="1"/>
  <c r="G203" i="1" s="1"/>
  <c r="L192" i="1"/>
  <c r="F194" i="1"/>
  <c r="G194" i="1"/>
  <c r="L194" i="1" s="1"/>
  <c r="H194" i="1"/>
  <c r="I194" i="1"/>
  <c r="F197" i="1"/>
  <c r="L197" i="1" s="1"/>
  <c r="G197" i="1"/>
  <c r="L198" i="1"/>
  <c r="F199" i="1"/>
  <c r="G199" i="1"/>
  <c r="L199" i="1" s="1"/>
  <c r="H199" i="1"/>
  <c r="H203" i="1" s="1"/>
  <c r="H249" i="1" s="1"/>
  <c r="H263" i="1" s="1"/>
  <c r="I199" i="1"/>
  <c r="J199" i="1"/>
  <c r="F14" i="13" s="1"/>
  <c r="K199" i="1"/>
  <c r="F200" i="1"/>
  <c r="L200" i="1" s="1"/>
  <c r="G200" i="1"/>
  <c r="H200" i="1"/>
  <c r="I200" i="1"/>
  <c r="L201" i="1"/>
  <c r="F231" i="1"/>
  <c r="L231" i="1" s="1"/>
  <c r="G231" i="1"/>
  <c r="H231" i="1"/>
  <c r="J231" i="1"/>
  <c r="F226" i="1"/>
  <c r="L226" i="1" s="1"/>
  <c r="G226" i="1"/>
  <c r="I226" i="1"/>
  <c r="J226" i="1"/>
  <c r="K226" i="1"/>
  <c r="F232" i="1"/>
  <c r="G232" i="1"/>
  <c r="K232" i="1"/>
  <c r="L232" i="1"/>
  <c r="F225" i="1"/>
  <c r="G225" i="1"/>
  <c r="L225" i="1" s="1"/>
  <c r="L239" i="1" s="1"/>
  <c r="H225" i="1"/>
  <c r="I225" i="1"/>
  <c r="J225" i="1"/>
  <c r="L227" i="1"/>
  <c r="F228" i="1"/>
  <c r="L228" i="1" s="1"/>
  <c r="C104" i="2" s="1"/>
  <c r="G228" i="1"/>
  <c r="G239" i="1" s="1"/>
  <c r="H228" i="1"/>
  <c r="H239" i="1" s="1"/>
  <c r="I228" i="1"/>
  <c r="K228" i="1"/>
  <c r="G5" i="13" s="1"/>
  <c r="F230" i="1"/>
  <c r="L230" i="1" s="1"/>
  <c r="G230" i="1"/>
  <c r="H230" i="1"/>
  <c r="I230" i="1"/>
  <c r="F233" i="1"/>
  <c r="G233" i="1"/>
  <c r="L233" i="1"/>
  <c r="L234" i="1"/>
  <c r="C114" i="2" s="1"/>
  <c r="F235" i="1"/>
  <c r="G235" i="1"/>
  <c r="L235" i="1" s="1"/>
  <c r="H235" i="1"/>
  <c r="I235" i="1"/>
  <c r="J235" i="1"/>
  <c r="F236" i="1"/>
  <c r="G236" i="1"/>
  <c r="H236" i="1"/>
  <c r="I236" i="1"/>
  <c r="L236" i="1"/>
  <c r="G641" i="1" s="1"/>
  <c r="L237" i="1"/>
  <c r="C117" i="2" s="1"/>
  <c r="F208" i="1"/>
  <c r="L208" i="1" s="1"/>
  <c r="G208" i="1"/>
  <c r="I208" i="1"/>
  <c r="J208" i="1"/>
  <c r="F214" i="1"/>
  <c r="G214" i="1"/>
  <c r="I214" i="1"/>
  <c r="K214" i="1"/>
  <c r="L214" i="1"/>
  <c r="F207" i="1"/>
  <c r="L207" i="1" s="1"/>
  <c r="G207" i="1"/>
  <c r="H207" i="1"/>
  <c r="H221" i="1" s="1"/>
  <c r="I207" i="1"/>
  <c r="J207" i="1"/>
  <c r="L209" i="1"/>
  <c r="F210" i="1"/>
  <c r="G210" i="1"/>
  <c r="H210" i="1"/>
  <c r="I210" i="1"/>
  <c r="L210" i="1"/>
  <c r="F212" i="1"/>
  <c r="L212" i="1" s="1"/>
  <c r="G212" i="1"/>
  <c r="H212" i="1"/>
  <c r="I212" i="1"/>
  <c r="J212" i="1"/>
  <c r="F213" i="1"/>
  <c r="G213" i="1"/>
  <c r="H213" i="1"/>
  <c r="I213" i="1"/>
  <c r="J213" i="1"/>
  <c r="L213" i="1"/>
  <c r="F215" i="1"/>
  <c r="G215" i="1"/>
  <c r="L215" i="1"/>
  <c r="L216" i="1"/>
  <c r="F217" i="1"/>
  <c r="L217" i="1" s="1"/>
  <c r="G217" i="1"/>
  <c r="H217" i="1"/>
  <c r="I217" i="1"/>
  <c r="J217" i="1"/>
  <c r="F218" i="1"/>
  <c r="G218" i="1"/>
  <c r="H218" i="1"/>
  <c r="I218" i="1"/>
  <c r="L218" i="1"/>
  <c r="G640" i="1" s="1"/>
  <c r="J640" i="1" s="1"/>
  <c r="L219" i="1"/>
  <c r="F248" i="1"/>
  <c r="G248" i="1"/>
  <c r="H248" i="1"/>
  <c r="I248" i="1"/>
  <c r="J248" i="1"/>
  <c r="K248" i="1"/>
  <c r="L248" i="1"/>
  <c r="I52" i="1"/>
  <c r="I103" i="1"/>
  <c r="I104" i="1"/>
  <c r="I113" i="1"/>
  <c r="I132" i="1" s="1"/>
  <c r="I128" i="1"/>
  <c r="I139" i="1"/>
  <c r="I154" i="1"/>
  <c r="I161" i="1"/>
  <c r="I169" i="1"/>
  <c r="I184" i="1" s="1"/>
  <c r="I175" i="1"/>
  <c r="I180" i="1"/>
  <c r="H154" i="1"/>
  <c r="H139" i="1"/>
  <c r="H161" i="1" s="1"/>
  <c r="H52" i="1"/>
  <c r="H104" i="1" s="1"/>
  <c r="H71" i="1"/>
  <c r="H86" i="1"/>
  <c r="E50" i="2" s="1"/>
  <c r="H103" i="1"/>
  <c r="H113" i="1"/>
  <c r="H132" i="1" s="1"/>
  <c r="H128" i="1"/>
  <c r="H175" i="1"/>
  <c r="H184" i="1" s="1"/>
  <c r="H180" i="1"/>
  <c r="G175" i="1"/>
  <c r="G180" i="1"/>
  <c r="G184" i="1"/>
  <c r="G52" i="1"/>
  <c r="G103" i="1"/>
  <c r="G104" i="1" s="1"/>
  <c r="G113" i="1"/>
  <c r="G128" i="1"/>
  <c r="G132" i="1" s="1"/>
  <c r="G139" i="1"/>
  <c r="G161" i="1" s="1"/>
  <c r="G154" i="1"/>
  <c r="F52" i="1"/>
  <c r="C35" i="10" s="1"/>
  <c r="F55" i="1"/>
  <c r="F71" i="1"/>
  <c r="C49" i="2" s="1"/>
  <c r="C54" i="2" s="1"/>
  <c r="F86" i="1"/>
  <c r="F102" i="1"/>
  <c r="F103" i="1"/>
  <c r="F113" i="1"/>
  <c r="F132" i="1" s="1"/>
  <c r="F128" i="1"/>
  <c r="F139" i="1"/>
  <c r="F161" i="1" s="1"/>
  <c r="C39" i="10" s="1"/>
  <c r="F152" i="1"/>
  <c r="C80" i="2" s="1"/>
  <c r="F154" i="1"/>
  <c r="F169" i="1"/>
  <c r="F184" i="1" s="1"/>
  <c r="F175" i="1"/>
  <c r="F180" i="1"/>
  <c r="B21" i="12"/>
  <c r="B11" i="12"/>
  <c r="J581" i="1"/>
  <c r="H581" i="1"/>
  <c r="H588" i="1" s="1"/>
  <c r="H639" i="1" s="1"/>
  <c r="I581" i="1"/>
  <c r="I588" i="1" s="1"/>
  <c r="H640" i="1" s="1"/>
  <c r="J584" i="1"/>
  <c r="I584" i="1"/>
  <c r="J583" i="1"/>
  <c r="J582" i="1"/>
  <c r="I582" i="1"/>
  <c r="H582" i="1"/>
  <c r="H569" i="1"/>
  <c r="H570" i="1"/>
  <c r="F572" i="1"/>
  <c r="H360" i="1"/>
  <c r="G360" i="1"/>
  <c r="G361" i="1" s="1"/>
  <c r="F360" i="1"/>
  <c r="I360" i="1" s="1"/>
  <c r="I361" i="1" s="1"/>
  <c r="H624" i="1" s="1"/>
  <c r="F39" i="1"/>
  <c r="F23" i="1"/>
  <c r="F33" i="1" s="1"/>
  <c r="F44" i="1" s="1"/>
  <c r="H607" i="1" s="1"/>
  <c r="J607" i="1" s="1"/>
  <c r="C60" i="2"/>
  <c r="B2" i="13"/>
  <c r="F8" i="13"/>
  <c r="D39" i="13"/>
  <c r="F13" i="13"/>
  <c r="G13" i="13"/>
  <c r="F16" i="13"/>
  <c r="G16" i="13"/>
  <c r="E16" i="13"/>
  <c r="C16" i="13" s="1"/>
  <c r="F5" i="13"/>
  <c r="F6" i="13"/>
  <c r="G6" i="13"/>
  <c r="F7" i="13"/>
  <c r="G7" i="13"/>
  <c r="F12" i="13"/>
  <c r="G12" i="13"/>
  <c r="G14" i="13"/>
  <c r="F15" i="13"/>
  <c r="G15" i="13"/>
  <c r="F17" i="13"/>
  <c r="G17" i="13"/>
  <c r="L243" i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I359" i="1"/>
  <c r="D29" i="13"/>
  <c r="C29" i="13" s="1"/>
  <c r="J301" i="1"/>
  <c r="J320" i="1"/>
  <c r="K282" i="1"/>
  <c r="G31" i="13" s="1"/>
  <c r="K301" i="1"/>
  <c r="K320" i="1"/>
  <c r="L326" i="1"/>
  <c r="L327" i="1"/>
  <c r="L252" i="1"/>
  <c r="C32" i="10" s="1"/>
  <c r="L253" i="1"/>
  <c r="L333" i="1"/>
  <c r="L334" i="1"/>
  <c r="L247" i="1"/>
  <c r="C29" i="10" s="1"/>
  <c r="L328" i="1"/>
  <c r="F22" i="13"/>
  <c r="C22" i="13" s="1"/>
  <c r="C11" i="13"/>
  <c r="C10" i="13"/>
  <c r="C9" i="13"/>
  <c r="B4" i="12"/>
  <c r="B36" i="12"/>
  <c r="B40" i="12"/>
  <c r="C40" i="12"/>
  <c r="B27" i="12"/>
  <c r="A31" i="12" s="1"/>
  <c r="C27" i="12"/>
  <c r="B31" i="12"/>
  <c r="C31" i="12"/>
  <c r="B13" i="12"/>
  <c r="C9" i="12"/>
  <c r="C13" i="12"/>
  <c r="B22" i="12"/>
  <c r="C18" i="12"/>
  <c r="C22" i="12"/>
  <c r="B1" i="12"/>
  <c r="L258" i="1"/>
  <c r="G48" i="2"/>
  <c r="G55" i="2" s="1"/>
  <c r="G51" i="2"/>
  <c r="G53" i="2"/>
  <c r="G54" i="2" s="1"/>
  <c r="F2" i="11"/>
  <c r="L603" i="1"/>
  <c r="H653" i="1" s="1"/>
  <c r="L602" i="1"/>
  <c r="G653" i="1"/>
  <c r="L601" i="1"/>
  <c r="L604" i="1" s="1"/>
  <c r="C40" i="10"/>
  <c r="C37" i="10"/>
  <c r="C12" i="10"/>
  <c r="C19" i="10"/>
  <c r="L242" i="1"/>
  <c r="L324" i="1"/>
  <c r="C23" i="10" s="1"/>
  <c r="L246" i="1"/>
  <c r="C25" i="10"/>
  <c r="L260" i="1"/>
  <c r="C26" i="10" s="1"/>
  <c r="L261" i="1"/>
  <c r="L341" i="1"/>
  <c r="E134" i="2" s="1"/>
  <c r="L342" i="1"/>
  <c r="E135" i="2" s="1"/>
  <c r="I655" i="1"/>
  <c r="I660" i="1"/>
  <c r="F651" i="1"/>
  <c r="I651" i="1" s="1"/>
  <c r="I659" i="1"/>
  <c r="C42" i="10"/>
  <c r="B2" i="10"/>
  <c r="L336" i="1"/>
  <c r="L337" i="1"/>
  <c r="L338" i="1"/>
  <c r="L339" i="1"/>
  <c r="K343" i="1"/>
  <c r="L511" i="1"/>
  <c r="F539" i="1" s="1"/>
  <c r="L512" i="1"/>
  <c r="F540" i="1"/>
  <c r="L516" i="1"/>
  <c r="L519" i="1" s="1"/>
  <c r="L517" i="1"/>
  <c r="G540" i="1" s="1"/>
  <c r="L521" i="1"/>
  <c r="H539" i="1"/>
  <c r="H542" i="1" s="1"/>
  <c r="L522" i="1"/>
  <c r="H540" i="1"/>
  <c r="L523" i="1"/>
  <c r="H541" i="1"/>
  <c r="L526" i="1"/>
  <c r="I539" i="1" s="1"/>
  <c r="I542" i="1" s="1"/>
  <c r="L527" i="1"/>
  <c r="I540" i="1" s="1"/>
  <c r="L528" i="1"/>
  <c r="I541" i="1" s="1"/>
  <c r="L532" i="1"/>
  <c r="J540" i="1"/>
  <c r="L533" i="1"/>
  <c r="J541" i="1"/>
  <c r="E124" i="2"/>
  <c r="E123" i="2"/>
  <c r="C124" i="2"/>
  <c r="C123" i="2"/>
  <c r="A1" i="2"/>
  <c r="A2" i="2"/>
  <c r="C9" i="2"/>
  <c r="C19" i="2" s="1"/>
  <c r="D9" i="2"/>
  <c r="E9" i="2"/>
  <c r="F9" i="2"/>
  <c r="I431" i="1"/>
  <c r="J9" i="1" s="1"/>
  <c r="C10" i="2"/>
  <c r="D10" i="2"/>
  <c r="E10" i="2"/>
  <c r="F10" i="2"/>
  <c r="C11" i="2"/>
  <c r="C12" i="2"/>
  <c r="D12" i="2"/>
  <c r="E12" i="2"/>
  <c r="F12" i="2"/>
  <c r="I433" i="1"/>
  <c r="J12" i="1"/>
  <c r="G12" i="2"/>
  <c r="C13" i="2"/>
  <c r="D13" i="2"/>
  <c r="E13" i="2"/>
  <c r="E19" i="2" s="1"/>
  <c r="F13" i="2"/>
  <c r="I434" i="1"/>
  <c r="J13" i="1" s="1"/>
  <c r="G13" i="2" s="1"/>
  <c r="C14" i="2"/>
  <c r="D14" i="2"/>
  <c r="D19" i="2" s="1"/>
  <c r="E14" i="2"/>
  <c r="F14" i="2"/>
  <c r="I435" i="1"/>
  <c r="J14" i="1"/>
  <c r="G14" i="2" s="1"/>
  <c r="F15" i="2"/>
  <c r="F19" i="2" s="1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D23" i="2"/>
  <c r="D32" i="2" s="1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2" i="2"/>
  <c r="C34" i="2"/>
  <c r="D34" i="2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 s="1"/>
  <c r="G42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/>
  <c r="C40" i="2"/>
  <c r="C42" i="2" s="1"/>
  <c r="C43" i="2" s="1"/>
  <c r="D40" i="2"/>
  <c r="E40" i="2"/>
  <c r="F40" i="2"/>
  <c r="I449" i="1"/>
  <c r="J41" i="1" s="1"/>
  <c r="G40" i="2" s="1"/>
  <c r="C41" i="2"/>
  <c r="D41" i="2"/>
  <c r="E41" i="2"/>
  <c r="F41" i="2"/>
  <c r="D42" i="2"/>
  <c r="D43" i="2" s="1"/>
  <c r="F42" i="2"/>
  <c r="F43" i="2" s="1"/>
  <c r="D48" i="2"/>
  <c r="E48" i="2"/>
  <c r="F48" i="2"/>
  <c r="F55" i="2" s="1"/>
  <c r="E49" i="2"/>
  <c r="E54" i="2" s="1"/>
  <c r="C50" i="2"/>
  <c r="C51" i="2"/>
  <c r="D51" i="2"/>
  <c r="E51" i="2"/>
  <c r="F51" i="2"/>
  <c r="F54" i="2" s="1"/>
  <c r="D52" i="2"/>
  <c r="C53" i="2"/>
  <c r="D53" i="2"/>
  <c r="D54" i="2" s="1"/>
  <c r="E53" i="2"/>
  <c r="F53" i="2"/>
  <c r="C58" i="2"/>
  <c r="C62" i="2" s="1"/>
  <c r="C59" i="2"/>
  <c r="C61" i="2"/>
  <c r="D61" i="2"/>
  <c r="E61" i="2"/>
  <c r="E62" i="2" s="1"/>
  <c r="F61" i="2"/>
  <c r="F62" i="2" s="1"/>
  <c r="G61" i="2"/>
  <c r="G62" i="2" s="1"/>
  <c r="D62" i="2"/>
  <c r="C64" i="2"/>
  <c r="F64" i="2"/>
  <c r="F70" i="2" s="1"/>
  <c r="C65" i="2"/>
  <c r="F65" i="2"/>
  <c r="C66" i="2"/>
  <c r="C70" i="2" s="1"/>
  <c r="C73" i="2" s="1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E70" i="2"/>
  <c r="E73" i="2" s="1"/>
  <c r="C71" i="2"/>
  <c r="D71" i="2"/>
  <c r="E71" i="2"/>
  <c r="C72" i="2"/>
  <c r="E72" i="2"/>
  <c r="C77" i="2"/>
  <c r="D77" i="2"/>
  <c r="D83" i="2" s="1"/>
  <c r="E77" i="2"/>
  <c r="E83" i="2" s="1"/>
  <c r="F77" i="2"/>
  <c r="C79" i="2"/>
  <c r="E79" i="2"/>
  <c r="F79" i="2"/>
  <c r="D80" i="2"/>
  <c r="E80" i="2"/>
  <c r="F80" i="2"/>
  <c r="C81" i="2"/>
  <c r="D81" i="2"/>
  <c r="E81" i="2"/>
  <c r="F81" i="2"/>
  <c r="C82" i="2"/>
  <c r="F83" i="2"/>
  <c r="C85" i="2"/>
  <c r="C95" i="2" s="1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3" i="2"/>
  <c r="E103" i="2"/>
  <c r="C105" i="2"/>
  <c r="E105" i="2"/>
  <c r="C106" i="2"/>
  <c r="D107" i="2"/>
  <c r="F107" i="2"/>
  <c r="G107" i="2"/>
  <c r="G137" i="2" s="1"/>
  <c r="E111" i="2"/>
  <c r="E112" i="2"/>
  <c r="E113" i="2"/>
  <c r="E114" i="2"/>
  <c r="E116" i="2"/>
  <c r="E117" i="2"/>
  <c r="F120" i="2"/>
  <c r="G120" i="2"/>
  <c r="E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 s="1"/>
  <c r="E127" i="2"/>
  <c r="L256" i="1"/>
  <c r="C128" i="2"/>
  <c r="L257" i="1"/>
  <c r="C129" i="2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G149" i="2" s="1"/>
  <c r="D149" i="2"/>
  <c r="E149" i="2"/>
  <c r="F149" i="2"/>
  <c r="B150" i="2"/>
  <c r="C150" i="2"/>
  <c r="D150" i="2"/>
  <c r="E150" i="2"/>
  <c r="F150" i="2"/>
  <c r="G150" i="2"/>
  <c r="B151" i="2"/>
  <c r="C151" i="2"/>
  <c r="G151" i="2" s="1"/>
  <c r="D151" i="2"/>
  <c r="E151" i="2"/>
  <c r="F151" i="2"/>
  <c r="B152" i="2"/>
  <c r="C152" i="2"/>
  <c r="D152" i="2"/>
  <c r="E152" i="2"/>
  <c r="F152" i="2"/>
  <c r="G152" i="2"/>
  <c r="F490" i="1"/>
  <c r="B153" i="2"/>
  <c r="G153" i="2" s="1"/>
  <c r="G490" i="1"/>
  <c r="K490" i="1" s="1"/>
  <c r="C153" i="2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K493" i="1" s="1"/>
  <c r="G493" i="1"/>
  <c r="C156" i="2" s="1"/>
  <c r="H493" i="1"/>
  <c r="D156" i="2" s="1"/>
  <c r="I493" i="1"/>
  <c r="E156" i="2"/>
  <c r="J493" i="1"/>
  <c r="F156" i="2" s="1"/>
  <c r="F19" i="1"/>
  <c r="G19" i="1"/>
  <c r="G608" i="1" s="1"/>
  <c r="J608" i="1" s="1"/>
  <c r="H19" i="1"/>
  <c r="I19" i="1"/>
  <c r="G610" i="1" s="1"/>
  <c r="J610" i="1" s="1"/>
  <c r="G33" i="1"/>
  <c r="H33" i="1"/>
  <c r="I33" i="1"/>
  <c r="F43" i="1"/>
  <c r="G43" i="1"/>
  <c r="G613" i="1" s="1"/>
  <c r="H43" i="1"/>
  <c r="H44" i="1" s="1"/>
  <c r="H609" i="1" s="1"/>
  <c r="J609" i="1" s="1"/>
  <c r="I43" i="1"/>
  <c r="I44" i="1" s="1"/>
  <c r="H610" i="1" s="1"/>
  <c r="G44" i="1"/>
  <c r="I203" i="1"/>
  <c r="G221" i="1"/>
  <c r="I221" i="1"/>
  <c r="J221" i="1"/>
  <c r="K221" i="1"/>
  <c r="I239" i="1"/>
  <c r="J239" i="1"/>
  <c r="I249" i="1"/>
  <c r="I263" i="1" s="1"/>
  <c r="F282" i="1"/>
  <c r="G282" i="1"/>
  <c r="I282" i="1"/>
  <c r="F301" i="1"/>
  <c r="G301" i="1"/>
  <c r="H301" i="1"/>
  <c r="G320" i="1"/>
  <c r="H320" i="1"/>
  <c r="I320" i="1"/>
  <c r="G330" i="1"/>
  <c r="G344" i="1" s="1"/>
  <c r="K330" i="1"/>
  <c r="K344" i="1"/>
  <c r="F354" i="1"/>
  <c r="G354" i="1"/>
  <c r="H354" i="1"/>
  <c r="I354" i="1"/>
  <c r="J354" i="1"/>
  <c r="K354" i="1"/>
  <c r="H361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H400" i="1" s="1"/>
  <c r="H634" i="1" s="1"/>
  <c r="J634" i="1" s="1"/>
  <c r="I393" i="1"/>
  <c r="I400" i="1" s="1"/>
  <c r="F399" i="1"/>
  <c r="G399" i="1"/>
  <c r="H399" i="1"/>
  <c r="I399" i="1"/>
  <c r="F411" i="1"/>
  <c r="G411" i="1"/>
  <c r="G426" i="1" s="1"/>
  <c r="H411" i="1"/>
  <c r="I411" i="1"/>
  <c r="I426" i="1" s="1"/>
  <c r="J411" i="1"/>
  <c r="J426" i="1" s="1"/>
  <c r="F419" i="1"/>
  <c r="G419" i="1"/>
  <c r="H419" i="1"/>
  <c r="I419" i="1"/>
  <c r="J419" i="1"/>
  <c r="F425" i="1"/>
  <c r="G425" i="1"/>
  <c r="H425" i="1"/>
  <c r="H426" i="1" s="1"/>
  <c r="I425" i="1"/>
  <c r="J425" i="1"/>
  <c r="F426" i="1"/>
  <c r="H438" i="1"/>
  <c r="F444" i="1"/>
  <c r="F451" i="1" s="1"/>
  <c r="H629" i="1" s="1"/>
  <c r="G444" i="1"/>
  <c r="G451" i="1" s="1"/>
  <c r="H630" i="1" s="1"/>
  <c r="H444" i="1"/>
  <c r="H451" i="1" s="1"/>
  <c r="H631" i="1" s="1"/>
  <c r="J631" i="1" s="1"/>
  <c r="I444" i="1"/>
  <c r="F450" i="1"/>
  <c r="G450" i="1"/>
  <c r="H450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J514" i="1"/>
  <c r="J535" i="1" s="1"/>
  <c r="K514" i="1"/>
  <c r="K535" i="1" s="1"/>
  <c r="G519" i="1"/>
  <c r="H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I534" i="1"/>
  <c r="J534" i="1"/>
  <c r="K534" i="1"/>
  <c r="L547" i="1"/>
  <c r="L548" i="1"/>
  <c r="L550" i="1" s="1"/>
  <c r="L561" i="1" s="1"/>
  <c r="L549" i="1"/>
  <c r="F550" i="1"/>
  <c r="F561" i="1" s="1"/>
  <c r="G550" i="1"/>
  <c r="H550" i="1"/>
  <c r="H561" i="1" s="1"/>
  <c r="I550" i="1"/>
  <c r="I561" i="1" s="1"/>
  <c r="J550" i="1"/>
  <c r="J561" i="1" s="1"/>
  <c r="K550" i="1"/>
  <c r="L552" i="1"/>
  <c r="L553" i="1"/>
  <c r="L554" i="1"/>
  <c r="F555" i="1"/>
  <c r="G555" i="1"/>
  <c r="G561" i="1" s="1"/>
  <c r="H555" i="1"/>
  <c r="I555" i="1"/>
  <c r="J555" i="1"/>
  <c r="K555" i="1"/>
  <c r="K561" i="1" s="1"/>
  <c r="L555" i="1"/>
  <c r="L557" i="1"/>
  <c r="L558" i="1"/>
  <c r="L559" i="1"/>
  <c r="F560" i="1"/>
  <c r="G560" i="1"/>
  <c r="H560" i="1"/>
  <c r="I560" i="1"/>
  <c r="J560" i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J588" i="1"/>
  <c r="H641" i="1" s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G607" i="1"/>
  <c r="H608" i="1"/>
  <c r="G609" i="1"/>
  <c r="G612" i="1"/>
  <c r="G615" i="1"/>
  <c r="G624" i="1"/>
  <c r="J624" i="1" s="1"/>
  <c r="G631" i="1"/>
  <c r="G633" i="1"/>
  <c r="G634" i="1"/>
  <c r="G635" i="1"/>
  <c r="J635" i="1"/>
  <c r="G642" i="1"/>
  <c r="H642" i="1"/>
  <c r="J642" i="1"/>
  <c r="G643" i="1"/>
  <c r="H643" i="1"/>
  <c r="J643" i="1"/>
  <c r="G644" i="1"/>
  <c r="J644" i="1" s="1"/>
  <c r="H644" i="1"/>
  <c r="G645" i="1"/>
  <c r="H645" i="1"/>
  <c r="J645" i="1"/>
  <c r="J539" i="1" l="1"/>
  <c r="J542" i="1" s="1"/>
  <c r="L534" i="1"/>
  <c r="I185" i="1"/>
  <c r="H650" i="1"/>
  <c r="D14" i="13"/>
  <c r="C14" i="13" s="1"/>
  <c r="C115" i="2"/>
  <c r="C20" i="10"/>
  <c r="E136" i="2"/>
  <c r="E55" i="2"/>
  <c r="E96" i="2" s="1"/>
  <c r="E43" i="2"/>
  <c r="G185" i="1"/>
  <c r="H185" i="1"/>
  <c r="J629" i="1"/>
  <c r="J330" i="1"/>
  <c r="J344" i="1" s="1"/>
  <c r="F31" i="13"/>
  <c r="F33" i="13" s="1"/>
  <c r="D55" i="2"/>
  <c r="D96" i="2" s="1"/>
  <c r="C38" i="10"/>
  <c r="L400" i="1"/>
  <c r="C130" i="2"/>
  <c r="J630" i="1"/>
  <c r="G73" i="2"/>
  <c r="G96" i="2" s="1"/>
  <c r="F73" i="2"/>
  <c r="F96" i="2" s="1"/>
  <c r="G33" i="13"/>
  <c r="C16" i="10"/>
  <c r="D7" i="13"/>
  <c r="C7" i="13" s="1"/>
  <c r="C111" i="2"/>
  <c r="G636" i="1"/>
  <c r="G621" i="1"/>
  <c r="D12" i="13"/>
  <c r="C12" i="13" s="1"/>
  <c r="C113" i="2"/>
  <c r="C18" i="10"/>
  <c r="C10" i="10"/>
  <c r="C101" i="2"/>
  <c r="G32" i="2"/>
  <c r="G43" i="2" s="1"/>
  <c r="G9" i="2"/>
  <c r="C133" i="2"/>
  <c r="F652" i="1"/>
  <c r="H637" i="1"/>
  <c r="D15" i="13"/>
  <c r="C15" i="13" s="1"/>
  <c r="G639" i="1"/>
  <c r="J639" i="1" s="1"/>
  <c r="C116" i="2"/>
  <c r="C21" i="10"/>
  <c r="C15" i="10"/>
  <c r="D6" i="13"/>
  <c r="C6" i="13" s="1"/>
  <c r="C110" i="2"/>
  <c r="C83" i="2"/>
  <c r="K540" i="1"/>
  <c r="C36" i="10"/>
  <c r="C41" i="10" s="1"/>
  <c r="C112" i="2"/>
  <c r="E8" i="13"/>
  <c r="C17" i="10"/>
  <c r="J641" i="1"/>
  <c r="C13" i="10"/>
  <c r="G628" i="1"/>
  <c r="J462" i="1"/>
  <c r="E101" i="2"/>
  <c r="L282" i="1"/>
  <c r="I451" i="1"/>
  <c r="H632" i="1" s="1"/>
  <c r="L221" i="1"/>
  <c r="G650" i="1" s="1"/>
  <c r="G249" i="1"/>
  <c r="G263" i="1" s="1"/>
  <c r="G626" i="1"/>
  <c r="I462" i="1"/>
  <c r="F221" i="1"/>
  <c r="J43" i="1"/>
  <c r="B156" i="2"/>
  <c r="G156" i="2" s="1"/>
  <c r="I432" i="1"/>
  <c r="G539" i="1"/>
  <c r="G542" i="1" s="1"/>
  <c r="F653" i="1"/>
  <c r="I653" i="1" s="1"/>
  <c r="C36" i="12"/>
  <c r="A40" i="12" s="1"/>
  <c r="K581" i="1"/>
  <c r="K588" i="1" s="1"/>
  <c r="G637" i="1" s="1"/>
  <c r="J203" i="1"/>
  <c r="J249" i="1" s="1"/>
  <c r="F122" i="2"/>
  <c r="F136" i="2" s="1"/>
  <c r="F137" i="2" s="1"/>
  <c r="L343" i="1"/>
  <c r="L325" i="1"/>
  <c r="E13" i="13"/>
  <c r="C13" i="13" s="1"/>
  <c r="K239" i="1"/>
  <c r="B9" i="12"/>
  <c r="A13" i="12" s="1"/>
  <c r="H25" i="13"/>
  <c r="L190" i="1"/>
  <c r="L203" i="1" s="1"/>
  <c r="K203" i="1"/>
  <c r="K249" i="1" s="1"/>
  <c r="K263" i="1" s="1"/>
  <c r="G614" i="1"/>
  <c r="H534" i="1"/>
  <c r="H535" i="1" s="1"/>
  <c r="F361" i="1"/>
  <c r="F320" i="1"/>
  <c r="F330" i="1" s="1"/>
  <c r="F344" i="1" s="1"/>
  <c r="C122" i="2"/>
  <c r="C136" i="2" s="1"/>
  <c r="C48" i="2"/>
  <c r="C55" i="2" s="1"/>
  <c r="C96" i="2" s="1"/>
  <c r="L513" i="1"/>
  <c r="J33" i="1"/>
  <c r="H652" i="1"/>
  <c r="F239" i="1"/>
  <c r="F203" i="1"/>
  <c r="F249" i="1" s="1"/>
  <c r="F263" i="1" s="1"/>
  <c r="G652" i="1"/>
  <c r="D5" i="13"/>
  <c r="L529" i="1"/>
  <c r="I450" i="1"/>
  <c r="F104" i="1"/>
  <c r="F185" i="1" s="1"/>
  <c r="L354" i="1"/>
  <c r="D119" i="2"/>
  <c r="D120" i="2" s="1"/>
  <c r="D137" i="2" s="1"/>
  <c r="D37" i="10" l="1"/>
  <c r="D39" i="10"/>
  <c r="D35" i="10"/>
  <c r="D40" i="10"/>
  <c r="L249" i="1"/>
  <c r="L263" i="1" s="1"/>
  <c r="F650" i="1"/>
  <c r="G617" i="1"/>
  <c r="F458" i="1"/>
  <c r="H638" i="1"/>
  <c r="J638" i="1" s="1"/>
  <c r="J263" i="1"/>
  <c r="G654" i="1"/>
  <c r="E33" i="13"/>
  <c r="D35" i="13" s="1"/>
  <c r="C8" i="13"/>
  <c r="C27" i="10"/>
  <c r="G462" i="1"/>
  <c r="G625" i="1"/>
  <c r="J637" i="1"/>
  <c r="C107" i="2"/>
  <c r="C137" i="2" s="1"/>
  <c r="C5" i="13"/>
  <c r="K539" i="1"/>
  <c r="H654" i="1"/>
  <c r="C11" i="10"/>
  <c r="C102" i="2"/>
  <c r="L330" i="1"/>
  <c r="D31" i="13"/>
  <c r="C31" i="13" s="1"/>
  <c r="D36" i="10"/>
  <c r="I652" i="1"/>
  <c r="G620" i="1"/>
  <c r="I458" i="1"/>
  <c r="C25" i="13"/>
  <c r="H33" i="13"/>
  <c r="I438" i="1"/>
  <c r="G632" i="1" s="1"/>
  <c r="J632" i="1" s="1"/>
  <c r="J10" i="1"/>
  <c r="H458" i="1"/>
  <c r="G619" i="1"/>
  <c r="H628" i="1"/>
  <c r="J464" i="1"/>
  <c r="G618" i="1"/>
  <c r="G458" i="1"/>
  <c r="G616" i="1"/>
  <c r="J44" i="1"/>
  <c r="H611" i="1" s="1"/>
  <c r="J628" i="1"/>
  <c r="H636" i="1"/>
  <c r="J636" i="1" s="1"/>
  <c r="J458" i="1"/>
  <c r="G627" i="1"/>
  <c r="L514" i="1"/>
  <c r="L535" i="1" s="1"/>
  <c r="F541" i="1"/>
  <c r="C120" i="2"/>
  <c r="D38" i="10"/>
  <c r="E106" i="2"/>
  <c r="E107" i="2" s="1"/>
  <c r="E137" i="2" s="1"/>
  <c r="C24" i="10"/>
  <c r="I464" i="1"/>
  <c r="H626" i="1"/>
  <c r="J626" i="1" s="1"/>
  <c r="K541" i="1" l="1"/>
  <c r="K542" i="1" s="1"/>
  <c r="F542" i="1"/>
  <c r="H462" i="1"/>
  <c r="L344" i="1"/>
  <c r="G623" i="1" s="1"/>
  <c r="H460" i="1"/>
  <c r="H619" i="1"/>
  <c r="J619" i="1" s="1"/>
  <c r="J627" i="1"/>
  <c r="J625" i="1"/>
  <c r="H617" i="1"/>
  <c r="F460" i="1"/>
  <c r="J460" i="1"/>
  <c r="J466" i="1" s="1"/>
  <c r="H616" i="1" s="1"/>
  <c r="H621" i="1"/>
  <c r="J621" i="1" s="1"/>
  <c r="H627" i="1"/>
  <c r="G10" i="2"/>
  <c r="G19" i="2" s="1"/>
  <c r="J19" i="1"/>
  <c r="G611" i="1" s="1"/>
  <c r="H662" i="1"/>
  <c r="C6" i="10" s="1"/>
  <c r="H657" i="1"/>
  <c r="G464" i="1"/>
  <c r="H625" i="1"/>
  <c r="J617" i="1"/>
  <c r="C28" i="10"/>
  <c r="D27" i="10" s="1"/>
  <c r="F654" i="1"/>
  <c r="I650" i="1"/>
  <c r="I654" i="1" s="1"/>
  <c r="G622" i="1"/>
  <c r="F462" i="1"/>
  <c r="J616" i="1"/>
  <c r="H620" i="1"/>
  <c r="J620" i="1" s="1"/>
  <c r="I460" i="1"/>
  <c r="I466" i="1" s="1"/>
  <c r="H615" i="1" s="1"/>
  <c r="J615" i="1" s="1"/>
  <c r="G460" i="1"/>
  <c r="H618" i="1"/>
  <c r="J618" i="1" s="1"/>
  <c r="D41" i="10"/>
  <c r="G662" i="1"/>
  <c r="C5" i="10" s="1"/>
  <c r="G657" i="1"/>
  <c r="D33" i="13"/>
  <c r="D36" i="13" s="1"/>
  <c r="G466" i="1" l="1"/>
  <c r="H613" i="1" s="1"/>
  <c r="J613" i="1" s="1"/>
  <c r="F464" i="1"/>
  <c r="F466" i="1" s="1"/>
  <c r="H612" i="1" s="1"/>
  <c r="H622" i="1"/>
  <c r="J622" i="1" s="1"/>
  <c r="D12" i="10"/>
  <c r="C30" i="10"/>
  <c r="D22" i="10"/>
  <c r="D26" i="10"/>
  <c r="D19" i="10"/>
  <c r="D23" i="10"/>
  <c r="D25" i="10"/>
  <c r="D10" i="10"/>
  <c r="D16" i="10"/>
  <c r="D20" i="10"/>
  <c r="D15" i="10"/>
  <c r="D18" i="10"/>
  <c r="D13" i="10"/>
  <c r="D17" i="10"/>
  <c r="D21" i="10"/>
  <c r="D24" i="10"/>
  <c r="D11" i="10"/>
  <c r="J611" i="1"/>
  <c r="H464" i="1"/>
  <c r="H466" i="1" s="1"/>
  <c r="H614" i="1" s="1"/>
  <c r="J614" i="1" s="1"/>
  <c r="H623" i="1"/>
  <c r="I657" i="1"/>
  <c r="I662" i="1"/>
  <c r="C7" i="10" s="1"/>
  <c r="J623" i="1"/>
  <c r="F657" i="1"/>
  <c r="F662" i="1"/>
  <c r="C4" i="10" s="1"/>
  <c r="J612" i="1" l="1"/>
  <c r="H646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5090AE9-7C96-4219-B969-EA46465B091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95EFE9B-60C9-4027-BDB5-802E921755D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776922B-6BB3-41CF-938A-C8EDE10C41C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469B94C-AF15-48B3-BC4F-B9BD853CD7A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E7CBBC1-C15C-411F-A17B-E5FCD24DF0F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68D9499-A3BA-4FFD-9534-3DCDB2E2234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1725B520-CD3F-4FAD-AE9D-E7E99226BDE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02C31C6-E578-4C30-A266-42CB7085533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13ACDB8-DA5A-4FE9-97FC-46C081B6703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5132AD4-6725-4247-8793-64165933EBA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42617DF-D7B8-400E-9958-23546E3DABE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1F64E37-380F-4D31-AF51-335A3DEB9D4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<sst xmlns="http://schemas.openxmlformats.org/spreadsheetml/2006/main" count="3864" uniqueCount="900">
  <si>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</si>
  <si>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</si>
  <si>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</si>
  <si>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</si>
  <si>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</si>
  <si>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</si>
  <si>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</si>
  <si>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</si>
  <si>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</si>
  <si>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</si>
  <si>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</si>
  <si>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</si>
  <si>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</si>
  <si>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</si>
  <si>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</si>
  <si>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</si>
  <si>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</si>
  <si>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</si>
  <si>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</si>
  <si>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</si>
  <si>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</si>
  <si>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</si>
  <si>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</si>
  <si>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</si>
  <si>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</si>
  <si>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</si>
  <si>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</si>
  <si>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</si>
  <si>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</si>
  <si>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</si>
  <si>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</si>
  <si>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</si>
  <si>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</si>
  <si>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</si>
  <si>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</si>
  <si>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</si>
  <si>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</si>
  <si>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</si>
  <si>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</si>
  <si>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</si>
  <si>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</si>
  <si>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</si>
  <si>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</si>
  <si>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</si>
  <si>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</si>
  <si>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</si>
  <si>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</si>
  <si>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</si>
  <si>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</si>
  <si>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</si>
  <si>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</si>
  <si>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</si>
  <si>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</si>
  <si>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</si>
  <si>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</si>
  <si>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</si>
  <si>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</si>
  <si>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</si>
  <si>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</si>
  <si>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</si>
  <si>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</si>
  <si>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</si>
  <si>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</si>
  <si>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</si>
  <si>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</si>
  <si>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</si>
  <si>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</si>
  <si>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</si>
  <si>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</si>
  <si>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</si>
  <si>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</si>
  <si>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</si>
  <si>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</si>
  <si>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</si>
  <si>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</si>
  <si>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</si>
  <si>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</si>
  <si>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</si>
  <si>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</si>
  <si>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</si>
  <si>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</si>
  <si>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</si>
  <si>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</si>
  <si>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</si>
  <si>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</si>
  <si>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</si>
  <si>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</si>
  <si>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</si>
  <si>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</si>
  <si>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</si>
  <si>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</si>
  <si>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</si>
  <si>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</si>
  <si>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</si>
  <si>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</si>
  <si>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</si>
  <si>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</si>
  <si>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</si>
  <si>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</si>
  <si>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</si>
  <si>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</si>
  <si>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</si>
  <si>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</si>
  <si>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</si>
  <si>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</si>
  <si>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</si>
  <si>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</si>
  <si>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</si>
  <si>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</si>
  <si>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</si>
  <si>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</si>
  <si>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</si>
  <si>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</si>
  <si>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</si>
  <si>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</si>
  <si>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</si>
  <si>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</si>
  <si>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</si>
  <si>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</si>
  <si>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</si>
  <si>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</si>
  <si>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</si>
  <si>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</si>
  <si>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</si>
  <si>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</si>
  <si>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</si>
  <si>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</si>
  <si>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</si>
  <si>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</si>
  <si>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</si>
  <si>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</si>
  <si>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</si>
  <si>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</si>
  <si>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</si>
  <si>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</si>
  <si>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</si>
  <si>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</si>
  <si>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</si>
  <si>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</si>
  <si>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</si>
  <si>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</si>
  <si>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</si>
  <si>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</si>
  <si>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</si>
  <si>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</si>
  <si>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</si>
  <si>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</si>
  <si>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</si>
  <si>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</si>
  <si>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</si>
  <si>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</si>
  <si>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</si>
  <si>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</si>
  <si>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</si>
  <si>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</si>
  <si>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</si>
  <si>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</si>
  <si>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</si>
  <si>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</si>
  <si>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</si>
  <si>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</si>
  <si>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</si>
  <si>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</si>
  <si>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</si>
  <si>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</si>
  <si>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</si>
  <si>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</si>
  <si>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</si>
  <si>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</si>
  <si>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</si>
  <si>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</si>
  <si>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</si>
  <si>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</si>
  <si>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</si>
  <si>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</si>
  <si>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</si>
  <si>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</si>
  <si>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</si>
  <si>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</si>
  <si>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</si>
  <si>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</si>
  <si>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</si>
  <si>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</si>
  <si>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</si>
  <si>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</si>
  <si>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</si>
  <si>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</si>
  <si>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</si>
  <si>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</si>
  <si>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</si>
  <si>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</si>
  <si>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</si>
  <si>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</si>
  <si>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</si>
  <si>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</si>
  <si>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</si>
  <si>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</si>
  <si>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</si>
  <si>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</si>
  <si>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</si>
  <si>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</si>
  <si>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</si>
  <si>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</si>
  <si>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</si>
  <si>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</si>
  <si>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</si>
  <si>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</si>
  <si>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</si>
  <si>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</si>
  <si>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</si>
  <si>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</si>
  <si>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</si>
  <si>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</si>
  <si>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</si>
  <si>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</si>
  <si>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</si>
  <si>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</si>
  <si>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</si>
  <si>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</si>
  <si>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</si>
  <si>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</si>
  <si>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</si>
  <si>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</si>
  <si>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</si>
  <si>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</si>
  <si>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</si>
  <si>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</si>
  <si>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</si>
  <si>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</si>
  <si>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</si>
  <si>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</si>
  <si>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</si>
  <si>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</si>
  <si>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</si>
  <si>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</si>
  <si>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</si>
  <si>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</si>
  <si>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</si>
  <si>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</si>
  <si>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</si>
  <si>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</si>
  <si>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</si>
  <si>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</si>
  <si>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</si>
  <si>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</si>
  <si>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</si>
  <si>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</si>
  <si>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</si>
  <si>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</si>
  <si>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</si>
  <si>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</si>
  <si>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</si>
  <si>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</si>
  <si>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</si>
  <si>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</si>
  <si>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</si>
  <si>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</si>
  <si>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</si>
  <si>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</si>
  <si>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</si>
  <si>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</si>
  <si>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</si>
  <si>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</si>
  <si>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</si>
  <si>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</si>
  <si>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</si>
  <si>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</si>
  <si>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</si>
  <si>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</si>
  <si>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</si>
  <si>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</si>
  <si>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</si>
  <si>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</si>
  <si>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</si>
  <si>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</si>
  <si>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</si>
  <si>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</si>
  <si>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</si>
  <si>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</si>
  <si>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</si>
  <si>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</si>
  <si>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</si>
  <si>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</si>
  <si>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</si>
  <si>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</si>
  <si>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</si>
  <si>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</si>
  <si>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</si>
  <si>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</si>
  <si>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</si>
  <si>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</si>
  <si>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</si>
  <si>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</si>
  <si>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</si>
  <si>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</si>
  <si>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</si>
  <si>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</si>
  <si>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</si>
  <si>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</si>
  <si>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</si>
  <si>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</si>
  <si>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</si>
  <si>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</si>
  <si>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</si>
  <si>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</si>
  <si>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</si>
  <si>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</si>
  <si>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</si>
  <si>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</si>
  <si>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</si>
  <si>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</si>
  <si>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</si>
  <si>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</si>
  <si>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</si>
  <si>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</si>
  <si>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</si>
  <si>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</si>
  <si>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</si>
  <si>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</si>
  <si>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</si>
  <si>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</si>
  <si>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</si>
  <si>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</si>
  <si>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</si>
  <si>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</si>
  <si>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</si>
  <si>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</si>
  <si>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</si>
  <si>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</si>
  <si>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</si>
  <si>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</si>
  <si>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</si>
  <si>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</si>
  <si>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</si>
  <si>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</si>
  <si>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</si>
  <si>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</si>
  <si>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</si>
  <si>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</si>
  <si>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</si>
  <si>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</si>
  <si>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</si>
  <si>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</si>
  <si>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</si>
  <si>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</si>
  <si>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</si>
  <si>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</si>
  <si>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</si>
  <si>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</si>
  <si>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</si>
  <si>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</si>
  <si>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</si>
  <si>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</si>
  <si>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</si>
  <si>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</si>
  <si>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</si>
  <si>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</si>
  <si>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</si>
  <si>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</si>
  <si>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</si>
  <si>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</si>
  <si>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</si>
  <si>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</si>
  <si>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</si>
  <si>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</si>
  <si>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</si>
  <si>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</si>
  <si>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</si>
  <si>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</si>
  <si>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</si>
  <si>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</si>
  <si>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</si>
  <si>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</si>
  <si>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</si>
  <si>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</si>
  <si>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</si>
  <si>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</si>
  <si>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</si>
  <si>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</si>
  <si>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</si>
  <si>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</si>
  <si>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</si>
  <si>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</si>
  <si>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</si>
  <si>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</si>
  <si>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</si>
  <si>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</si>
  <si>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</si>
  <si>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</si>
  <si>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</si>
  <si>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</si>
  <si>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</si>
  <si>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</si>
  <si>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</si>
  <si>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</si>
  <si>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</si>
  <si>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</si>
  <si>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</si>
  <si>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</si>
  <si>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</si>
  <si>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</si>
  <si>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</si>
  <si>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</si>
  <si>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</si>
  <si>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</si>
  <si>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</si>
  <si>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</si>
  <si>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</si>
  <si>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</si>
  <si>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</si>
  <si>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</si>
  <si>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</si>
  <si>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</si>
  <si>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</si>
  <si>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</si>
  <si>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</si>
  <si>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</si>
  <si>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</si>
  <si>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</si>
  <si>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</si>
  <si>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</si>
  <si>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</si>
  <si>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</si>
  <si>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</si>
  <si>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</si>
  <si>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</si>
  <si>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</si>
  <si>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</si>
  <si>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</si>
  <si>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</si>
  <si>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</si>
  <si>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</si>
  <si>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</si>
  <si>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</si>
  <si>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</si>
  <si>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</si>
  <si>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</si>
  <si>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</si>
  <si>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</si>
  <si>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</si>
  <si>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</si>
  <si>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</si>
  <si>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</si>
  <si>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</si>
  <si>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</si>
  <si>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</si>
  <si>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</si>
  <si>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</si>
  <si>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</si>
  <si>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</si>
  <si>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</si>
  <si>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</si>
  <si>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</si>
  <si>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</si>
  <si>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</si>
  <si>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</si>
  <si>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</si>
  <si>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</si>
  <si>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</si>
  <si>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</si>
  <si>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</si>
  <si>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</si>
  <si>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</si>
  <si>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</si>
  <si>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</si>
  <si>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</si>
  <si>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</si>
  <si>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</si>
  <si>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</si>
  <si>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</si>
  <si>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</si>
  <si>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</si>
  <si>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</si>
  <si>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</si>
  <si>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</si>
  <si>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</si>
  <si>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</si>
  <si>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</si>
  <si>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</si>
  <si>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</si>
  <si>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</si>
  <si>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</si>
  <si>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</si>
  <si>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</si>
  <si>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</si>
  <si>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</si>
  <si>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</si>
  <si>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</si>
  <si>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</si>
  <si>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</si>
  <si>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</si>
  <si>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</si>
  <si>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</si>
  <si>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</si>
  <si>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</si>
  <si>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</si>
  <si>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</si>
  <si>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</si>
  <si>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</si>
  <si>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</si>
  <si>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</si>
  <si>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</si>
  <si>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</si>
  <si>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</si>
  <si>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</si>
  <si>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</si>
  <si>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</si>
  <si>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</si>
  <si>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</si>
  <si>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</si>
  <si>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</si>
  <si>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</si>
  <si>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</si>
  <si>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</si>
  <si>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</si>
  <si>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</si>
  <si>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</si>
  <si>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</si>
  <si>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</si>
  <si>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</si>
  <si>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</si>
  <si>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</si>
  <si>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</si>
  <si>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</si>
  <si>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</si>
  <si>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</si>
  <si>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</si>
  <si>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</si>
  <si>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</si>
  <si>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</si>
  <si>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</si>
  <si>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</si>
  <si>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</si>
  <si>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</si>
  <si>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</si>
  <si>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</si>
  <si>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</si>
  <si>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</si>
  <si>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</si>
  <si>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</si>
  <si>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</si>
  <si>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</si>
  <si>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</si>
  <si>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</si>
  <si>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</si>
  <si>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</si>
  <si>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</si>
  <si>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</si>
  <si>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</si>
  <si>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</si>
  <si>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</si>
  <si>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</si>
  <si>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</si>
  <si>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</si>
  <si>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</si>
  <si>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</si>
  <si>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</si>
  <si>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</si>
  <si>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</si>
  <si>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</si>
  <si>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</si>
  <si>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</si>
  <si>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</si>
  <si>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</si>
  <si>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</si>
  <si>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</si>
  <si>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</si>
  <si>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</si>
  <si>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</si>
  <si>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</si>
  <si>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</si>
  <si>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</si>
  <si>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</si>
  <si>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</si>
  <si>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</si>
  <si>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</si>
  <si>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</si>
  <si>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</si>
  <si>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</si>
  <si>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</si>
  <si>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</si>
  <si>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</si>
  <si>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</si>
  <si>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</si>
  <si>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</si>
  <si>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</si>
  <si>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</si>
  <si>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</si>
  <si>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</si>
  <si>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</si>
  <si>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</si>
  <si>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</si>
  <si>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</si>
  <si>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</si>
  <si>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</si>
  <si>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</si>
  <si>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</si>
  <si>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</si>
  <si>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</si>
  <si>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</si>
  <si>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</si>
  <si>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</si>
  <si>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</si>
  <si>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</si>
  <si>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</si>
  <si>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</si>
  <si>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</si>
  <si>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</si>
  <si>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</si>
  <si>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</si>
  <si>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</si>
  <si>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</si>
  <si>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</si>
  <si>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</si>
  <si>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</si>
  <si>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</si>
  <si>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</si>
  <si>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</si>
  <si>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</si>
  <si>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</si>
  <si>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</si>
  <si>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</si>
  <si>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</si>
  <si>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</si>
  <si>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</si>
  <si>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</si>
  <si>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</si>
  <si>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</si>
  <si>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</si>
  <si>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</si>
  <si>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</si>
  <si>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</si>
  <si>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</si>
  <si>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</si>
  <si>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</si>
  <si>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</si>
  <si>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</si>
  <si>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</si>
  <si>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</si>
  <si>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</si>
  <si>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</si>
  <si>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</si>
  <si>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</si>
  <si>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</si>
  <si>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</si>
  <si>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</si>
  <si>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</si>
  <si>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</si>
  <si>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</si>
  <si>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</si>
  <si>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</si>
  <si>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</si>
  <si>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</si>
  <si>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</si>
  <si>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</si>
  <si>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</si>
  <si>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</si>
  <si>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</si>
  <si>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</si>
  <si>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</si>
  <si>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</si>
  <si>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</si>
  <si>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</si>
  <si>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</si>
  <si>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</si>
  <si>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</si>
  <si>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</si>
  <si>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</si>
  <si>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</si>
  <si>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</si>
  <si>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</si>
  <si>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</si>
  <si>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</si>
  <si>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</si>
  <si>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</si>
  <si>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</si>
  <si>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</si>
  <si>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</si>
  <si>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</si>
  <si>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</si>
  <si>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</si>
  <si>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</si>
  <si>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</si>
  <si>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</si>
  <si>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</si>
  <si>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</si>
  <si>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</si>
  <si>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</si>
  <si>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</si>
  <si>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</si>
  <si>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</si>
  <si>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</si>
  <si>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</si>
  <si>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</si>
  <si>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</si>
  <si>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</si>
  <si>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</si>
  <si>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</si>
  <si>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</si>
  <si>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</si>
  <si>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</si>
  <si>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</si>
  <si>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</si>
  <si>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</si>
  <si>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</si>
  <si>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</si>
  <si>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</si>
  <si>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</si>
  <si>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</si>
  <si>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</si>
  <si>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</si>
  <si>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</si>
  <si>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</si>
  <si>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</si>
  <si>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</si>
  <si>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</si>
  <si>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</si>
  <si>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</si>
  <si>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</si>
  <si>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</si>
  <si>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</si>
  <si>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</si>
  <si>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</si>
  <si>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</si>
  <si>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</si>
  <si>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</si>
  <si>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</si>
  <si>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</si>
  <si>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</si>
  <si>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</si>
  <si>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</si>
  <si>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</si>
  <si>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</si>
  <si>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</si>
  <si>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</si>
  <si>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</si>
  <si>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</si>
  <si>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</si>
  <si>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</si>
  <si>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</si>
  <si>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</si>
  <si>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</si>
  <si>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</si>
  <si>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</si>
  <si>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</si>
  <si>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</si>
  <si>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</si>
  <si>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</si>
  <si>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</si>
  <si>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</si>
  <si>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</si>
  <si>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</si>
  <si>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</si>
  <si>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</si>
  <si>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</si>
  <si>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</si>
  <si>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</si>
  <si>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</si>
  <si>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</si>
  <si>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</si>
  <si>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</si>
  <si>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</si>
  <si>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</si>
  <si>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</si>
  <si>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</si>
  <si>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</si>
  <si>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</si>
  <si>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</si>
  <si>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</si>
  <si>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</si>
  <si>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</si>
  <si>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</si>
  <si>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</si>
  <si>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</si>
  <si>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</si>
  <si>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</si>
  <si>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</si>
  <si>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</si>
  <si>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</si>
  <si>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</si>
  <si>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</si>
  <si>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</si>
  <si>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</si>
  <si>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</si>
  <si>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</si>
  <si>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</si>
  <si>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</si>
  <si>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</si>
  <si>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</si>
  <si>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</si>
  <si>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</si>
  <si>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</si>
  <si>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</si>
  <si>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</si>
  <si>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</si>
  <si>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</si>
  <si>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</si>
  <si>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</si>
  <si>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</si>
  <si>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</si>
  <si>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</si>
  <si>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</si>
  <si>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</si>
  <si>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</si>
  <si>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</si>
  <si>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</si>
  <si>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</si>
  <si>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</si>
  <si>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</si>
  <si>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</si>
  <si>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</si>
  <si>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</si>
  <si>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</si>
  <si>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</si>
  <si>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</si>
  <si>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</si>
  <si>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</si>
  <si>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</si>
  <si>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</si>
  <si>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</si>
  <si>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</si>
  <si>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</si>
  <si>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</si>
  <si>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</si>
  <si>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</si>
  <si>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</si>
  <si>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</si>
  <si>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</si>
  <si>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</si>
  <si>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</si>
  <si>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</si>
  <si>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</si>
  <si>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</si>
  <si>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</si>
  <si>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</si>
  <si>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</si>
  <si>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</si>
  <si>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</si>
  <si>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</si>
  <si>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</si>
  <si>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</si>
  <si>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</si>
  <si>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</si>
  <si>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</si>
  <si>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</si>
  <si>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</si>
  <si>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</si>
  <si>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</si>
  <si>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</si>
  <si>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</si>
  <si>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</si>
  <si>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</si>
  <si>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</si>
  <si>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</si>
  <si>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</si>
  <si>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</si>
  <si>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</si>
  <si>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</si>
  <si>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</si>
  <si>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</si>
  <si>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</si>
  <si>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</si>
  <si>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</si>
  <si>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</si>
  <si>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</si>
  <si>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</si>
  <si>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</si>
  <si>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</si>
  <si>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</si>
  <si>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</si>
  <si>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</si>
  <si>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</si>
  <si>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</si>
  <si>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</si>
  <si>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</si>
  <si>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</si>
  <si>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</si>
  <si>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</si>
  <si>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</si>
  <si>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</si>
  <si>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</si>
  <si>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</si>
  <si>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</si>
  <si>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</si>
  <si>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</si>
  <si>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</si>
  <si>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</si>
  <si>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</si>
  <si>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</si>
  <si>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</si>
  <si>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</si>
  <si>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</si>
  <si>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</si>
  <si>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</si>
  <si>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07/03</t>
  </si>
  <si>
    <t>07/12</t>
  </si>
  <si>
    <t>Various</t>
  </si>
  <si>
    <t>12/07</t>
  </si>
  <si>
    <t>01/13</t>
  </si>
  <si>
    <t>Lebanon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</si>
</sst>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9AB1-65E7-423D-A27C-1F917E5D54B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295</v>
      </c>
      <c r="C2" s="21">
        <v>295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2112643.23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992300.7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412221.22+224306.71-139062.17</f>
        <v>497465.75999999989</v>
      </c>
      <c r="G12" s="18"/>
      <c r="H12" s="18">
        <v>114224.53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257.69</v>
      </c>
      <c r="G13" s="18">
        <v>10877.81</v>
      </c>
      <c r="H13" s="18">
        <f>2850+147855.11+333461.17+564+56453.71+2850</f>
        <v>544033.99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10225.75</v>
      </c>
      <c r="G14" s="18">
        <v>10568.72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224749.34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81592.55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2702184.9799999995</v>
      </c>
      <c r="G19" s="41">
        <f>SUM(G9:G18)</f>
        <v>21446.53</v>
      </c>
      <c r="H19" s="41">
        <f>SUM(H9:H18)</f>
        <v>658258.52</v>
      </c>
      <c r="I19" s="41">
        <f>SUM(I9:I18)</f>
        <v>224749.34</v>
      </c>
      <c r="J19" s="41">
        <f>SUM(J9:J18)</f>
        <v>992300.7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99171.96+9054.77</f>
        <v>108226.73000000001</v>
      </c>
      <c r="G23" s="18">
        <v>17380.16</v>
      </c>
      <c r="H23" s="18">
        <f>333461.17+564+56453.71</f>
        <v>390478.88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219547.64</v>
      </c>
      <c r="G25" s="18">
        <v>283.39999999999998</v>
      </c>
      <c r="H25" s="18">
        <f>2608.81+71151.02</f>
        <v>73759.83</v>
      </c>
      <c r="I25" s="18">
        <v>224749.34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3782.97</v>
      </c>
      <c r="H31" s="18">
        <v>83897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327774.37</v>
      </c>
      <c r="G33" s="41">
        <f>SUM(G23:G32)</f>
        <v>21446.530000000002</v>
      </c>
      <c r="H33" s="41">
        <f>SUM(H23:H32)</f>
        <v>548135.71</v>
      </c>
      <c r="I33" s="41">
        <f>SUM(I23:I32)</f>
        <v>224749.34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81592.55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328910.03999999998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f>250000+50000+400000</f>
        <v>700000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110122.81</v>
      </c>
      <c r="I41" s="18"/>
      <c r="J41" s="13">
        <f>SUM(I449)</f>
        <v>992300.7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1447056.46-183148.44</f>
        <v>1263908.02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2374410.61</v>
      </c>
      <c r="G43" s="41">
        <f>SUM(G35:G42)</f>
        <v>0</v>
      </c>
      <c r="H43" s="41">
        <f>SUM(H35:H42)</f>
        <v>110122.81</v>
      </c>
      <c r="I43" s="41">
        <f>SUM(I35:I42)</f>
        <v>0</v>
      </c>
      <c r="J43" s="41">
        <f>SUM(J35:J42)</f>
        <v>992300.7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2702184.98</v>
      </c>
      <c r="G44" s="41">
        <f>G43+G33</f>
        <v>21446.530000000002</v>
      </c>
      <c r="H44" s="41">
        <f>H43+H33</f>
        <v>658258.52</v>
      </c>
      <c r="I44" s="41">
        <f>I43+I33</f>
        <v>224749.34</v>
      </c>
      <c r="J44" s="41">
        <f>J43+J33</f>
        <v>992300.7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19880938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19880938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23115+11775</f>
        <v>34890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8961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3574592.14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68610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3687053.14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4642.5</v>
      </c>
      <c r="G88" s="18"/>
      <c r="H88" s="18"/>
      <c r="I88" s="18"/>
      <c r="J88" s="18">
        <f>19099.75</f>
        <v>19099.75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387759.57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36600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13152+25739.7</f>
        <v>38891.699999999997</v>
      </c>
      <c r="G102" s="18"/>
      <c r="H102" s="18">
        <v>114555.41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80134.2</v>
      </c>
      <c r="G103" s="41">
        <f>SUM(G88:G102)</f>
        <v>387759.57</v>
      </c>
      <c r="H103" s="41">
        <f>SUM(H88:H102)</f>
        <v>114555.41</v>
      </c>
      <c r="I103" s="41">
        <f>SUM(I88:I102)</f>
        <v>0</v>
      </c>
      <c r="J103" s="41">
        <f>SUM(J88:J102)</f>
        <v>19099.75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23648125.34</v>
      </c>
      <c r="G104" s="41">
        <f>G52+G103</f>
        <v>387759.57</v>
      </c>
      <c r="H104" s="41">
        <f>H52+H71+H86+H103</f>
        <v>114555.41</v>
      </c>
      <c r="I104" s="41">
        <f>I52+I103</f>
        <v>0</v>
      </c>
      <c r="J104" s="41">
        <f>J52+J103</f>
        <v>19099.75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2022102.25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4200736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775817.75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6998656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286762.02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242156.45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371571.85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13550.4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4845.6000000000004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23400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914040.72</v>
      </c>
      <c r="G128" s="41">
        <f>SUM(G115:G127)</f>
        <v>4845.6000000000004</v>
      </c>
      <c r="H128" s="41">
        <f>SUM(H115:H127)</f>
        <v>23400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7912696.7199999997</v>
      </c>
      <c r="G132" s="41">
        <f>G113+SUM(G128:G129)</f>
        <v>4845.6000000000004</v>
      </c>
      <c r="H132" s="41">
        <f>H113+SUM(H128:H131)</f>
        <v>23400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16996.29+1537.48+59278.44+196244.57+56453.71</f>
        <v>330510.49000000005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f>1070.3+70257.53+13070-4000</f>
        <v>80397.83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147955.95000000001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9414.66+387519.99+1140.7+333461.17+564</f>
        <v>732100.52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111962.5+41432.07</f>
        <v>153394.57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23408.15</v>
      </c>
      <c r="H153" s="18">
        <f>924326.4-752529.96</f>
        <v>171796.44000000006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153394.57</v>
      </c>
      <c r="G154" s="41">
        <f>SUM(G142:G153)</f>
        <v>171364.1</v>
      </c>
      <c r="H154" s="41">
        <f>SUM(H142:H153)</f>
        <v>1314805.2800000003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4213.78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157608.35</v>
      </c>
      <c r="G161" s="41">
        <f>G139+G154+SUM(G155:G160)</f>
        <v>171364.1</v>
      </c>
      <c r="H161" s="41">
        <f>H139+H154+SUM(H155:H160)</f>
        <v>1314805.2800000003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9661.92</v>
      </c>
      <c r="H171" s="18"/>
      <c r="I171" s="18"/>
      <c r="J171" s="18">
        <v>285306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9661.92</v>
      </c>
      <c r="H175" s="41">
        <f>SUM(H171:H174)</f>
        <v>0</v>
      </c>
      <c r="I175" s="41">
        <f>SUM(I171:I174)</f>
        <v>0</v>
      </c>
      <c r="J175" s="41">
        <f>SUM(J171:J174)</f>
        <v>285306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9661.92</v>
      </c>
      <c r="H184" s="41">
        <f>+H175+SUM(H180:H183)</f>
        <v>0</v>
      </c>
      <c r="I184" s="41">
        <f>I169+I175+SUM(I180:I183)</f>
        <v>0</v>
      </c>
      <c r="J184" s="41">
        <f>J175</f>
        <v>285306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31718430.41</v>
      </c>
      <c r="G185" s="47">
        <f>G104+G132+G161+G184</f>
        <v>573631.19000000006</v>
      </c>
      <c r="H185" s="47">
        <f>H104+H132+H161+H184</f>
        <v>1452760.6900000002</v>
      </c>
      <c r="I185" s="47">
        <f>I104+I132+I161+I184</f>
        <v>0</v>
      </c>
      <c r="J185" s="47">
        <f>J104+J132+J184</f>
        <v>304405.75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22511.38+3378602.41+7415.92+336249.46+122619.58-7415.92</f>
        <v>3859982.83</v>
      </c>
      <c r="G189" s="18">
        <f>10759.96+722001.3+1109.35+67583.44+350.73+24402.4+15255.73+283674.94+32646.36+6712.61+293877.25+7474.47+2209.03+12323.18-511.48</f>
        <v>1479869.2700000003</v>
      </c>
      <c r="H189" s="18">
        <f>4112.07+21484.94-9345.64</f>
        <v>16251.369999999999</v>
      </c>
      <c r="I189" s="18">
        <f>4899.05+119530.05</f>
        <v>124429.1</v>
      </c>
      <c r="J189" s="18">
        <f>6858.91+7358.02</f>
        <v>14216.93</v>
      </c>
      <c r="K189" s="18">
        <v>13695.26</v>
      </c>
      <c r="L189" s="19">
        <f>SUM(F189:K189)</f>
        <v>5508444.7599999998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329142.9+824529.69+145942.13+16834+29295.92+516511.93</f>
        <v>1862256.5699999996</v>
      </c>
      <c r="G190" s="18">
        <f>64761.5+451828.87+5673.84+36631.48+1703.46+7258.18+30672+121317.5+7440.48+54970.5+27383.37+83941.49+1288+4936.07-6418.85-2901.01</f>
        <v>890486.88</v>
      </c>
      <c r="H190" s="18">
        <f>162754.46+106154.16-36492.67-16470+6666.18</f>
        <v>222612.13</v>
      </c>
      <c r="I190" s="18">
        <f>14088.25+10912.52-9231.58</f>
        <v>15769.19</v>
      </c>
      <c r="J190" s="18">
        <f>2308.48+347</f>
        <v>2655.48</v>
      </c>
      <c r="K190" s="18">
        <v>720.64</v>
      </c>
      <c r="L190" s="19">
        <f>SUM(F190:K190)</f>
        <v>2994500.8899999997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9690.7099999999991</v>
      </c>
      <c r="G192" s="18">
        <f>741.34+579.87+45.12</f>
        <v>1366.33</v>
      </c>
      <c r="H192" s="18"/>
      <c r="I192" s="18"/>
      <c r="J192" s="18"/>
      <c r="K192" s="18"/>
      <c r="L192" s="19">
        <f>SUM(F192:K192)</f>
        <v>11057.039999999999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52968+73907+42660.75+670.24+101151.71+50270.26</f>
        <v>321627.96000000002</v>
      </c>
      <c r="G194" s="18">
        <f>24209.64+3609.84+829.14+12447.33+14779.75+533.9+156.55+41820.14+3585.4+533.02+51.14+10846.82+4604.56+65.08+6272.8+477.04</f>
        <v>124822.15000000001</v>
      </c>
      <c r="H194" s="18">
        <f>22947.5+880.68</f>
        <v>23828.18</v>
      </c>
      <c r="I194" s="18">
        <f>1819.23+3026.92+3780.04</f>
        <v>8626.1899999999987</v>
      </c>
      <c r="J194" s="18">
        <v>227</v>
      </c>
      <c r="K194" s="18"/>
      <c r="L194" s="19">
        <f t="shared" ref="L194:L200" si="0">SUM(F194:K194)</f>
        <v>479131.48000000004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10187.23+284971.12+61212.66+16546.28</f>
        <v>372917.29000000004</v>
      </c>
      <c r="G195" s="18">
        <f>1554.21+32.15+73256.26+45943.77+897.87+10020.33+9664.92+5644.32+1206.12+1498.34+1515.66+2102.35+52.05</f>
        <v>153388.34999999998</v>
      </c>
      <c r="H195" s="18">
        <f>23916.38+34.14+25943.05+1749.69+123597.26</f>
        <v>175240.52</v>
      </c>
      <c r="I195" s="18">
        <f>8251.49+39103.85+6378.51+2362.81+258.66</f>
        <v>56355.32</v>
      </c>
      <c r="J195" s="18">
        <f>5319.08+1760.28+9100.06</f>
        <v>16179.419999999998</v>
      </c>
      <c r="K195" s="18"/>
      <c r="L195" s="19">
        <f t="shared" si="0"/>
        <v>774080.9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4022.1+223833.84+18138.91</f>
        <v>245994.85</v>
      </c>
      <c r="G196" s="18">
        <f>312.36+101839.72+10475.67</f>
        <v>112627.75</v>
      </c>
      <c r="H196" s="18">
        <f>126666.48-6666.18</f>
        <v>120000.29999999999</v>
      </c>
      <c r="I196" s="18">
        <f>19791.33</f>
        <v>19791.330000000002</v>
      </c>
      <c r="J196" s="18">
        <v>6480.5</v>
      </c>
      <c r="K196" s="18">
        <f>16425.19+123985.43+142.94</f>
        <v>140553.56</v>
      </c>
      <c r="L196" s="19">
        <f t="shared" si="0"/>
        <v>645448.29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259467+3590.46+136380.96</f>
        <v>399438.42000000004</v>
      </c>
      <c r="G197" s="18">
        <f>46955.33+282.31+63800.39+1246.78</f>
        <v>112284.81</v>
      </c>
      <c r="H197" s="18">
        <v>55783.71</v>
      </c>
      <c r="I197" s="18">
        <v>5506.31</v>
      </c>
      <c r="J197" s="18">
        <v>249.8</v>
      </c>
      <c r="K197" s="18">
        <v>2635.95</v>
      </c>
      <c r="L197" s="19">
        <f t="shared" si="0"/>
        <v>575899.00000000012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138135.89+281962.26+15967.09</f>
        <v>436065.24000000005</v>
      </c>
      <c r="G199" s="18">
        <f>39292.62+46241.56+30200.12+24348.56+1861.14+19144.36</f>
        <v>161088.35999999999</v>
      </c>
      <c r="H199" s="18">
        <f>50855.66+248660.42+16298.9+570680.5</f>
        <v>886495.48</v>
      </c>
      <c r="I199" s="18">
        <f>8847.88+245134.53</f>
        <v>253982.41</v>
      </c>
      <c r="J199" s="18">
        <f>4379.11+7989.31</f>
        <v>12368.42</v>
      </c>
      <c r="K199" s="18">
        <f>153.12</f>
        <v>153.12</v>
      </c>
      <c r="L199" s="19">
        <f t="shared" si="0"/>
        <v>1750153.03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7415.92+43378.48+115421.87+5923.97</f>
        <v>172140.24</v>
      </c>
      <c r="G200" s="18">
        <f>511.48+2901.01+27138.32</f>
        <v>30550.81</v>
      </c>
      <c r="H200" s="18">
        <f>9345.64+36492.67+16470+76463.12</f>
        <v>138771.43</v>
      </c>
      <c r="I200" s="18">
        <f>9231.58+32507.74</f>
        <v>41739.32</v>
      </c>
      <c r="J200" s="18">
        <v>433.38</v>
      </c>
      <c r="K200" s="18">
        <v>254.14</v>
      </c>
      <c r="L200" s="19">
        <f t="shared" si="0"/>
        <v>383889.32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7680114.1099999994</v>
      </c>
      <c r="G203" s="41">
        <f t="shared" si="1"/>
        <v>3066484.7100000004</v>
      </c>
      <c r="H203" s="41">
        <f t="shared" si="1"/>
        <v>1638983.1199999999</v>
      </c>
      <c r="I203" s="41">
        <f t="shared" si="1"/>
        <v>526199.16999999993</v>
      </c>
      <c r="J203" s="41">
        <f t="shared" si="1"/>
        <v>52810.93</v>
      </c>
      <c r="K203" s="41">
        <f t="shared" si="1"/>
        <v>158012.67000000001</v>
      </c>
      <c r="L203" s="41">
        <f t="shared" si="1"/>
        <v>13122604.709999999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9618.96+1442326.39+2819.68+52394.5-2819.68</f>
        <v>1504339.8499999999</v>
      </c>
      <c r="G207" s="18">
        <f>4597.65+369960.83+474.02+27321.67+149.87+9649.19+6518.67+112049.25+2868.25+126319.71+3193.79+943.91+5384.65-105.73-12.2-209.74</f>
        <v>669103.79000000015</v>
      </c>
      <c r="H207" s="18">
        <f>1678.78+6782.5-3687</f>
        <v>4774.2800000000007</v>
      </c>
      <c r="I207" s="18">
        <f>2000.07+72459.27</f>
        <v>74459.340000000011</v>
      </c>
      <c r="J207" s="18">
        <f>9698.21+3554.82</f>
        <v>13253.029999999999</v>
      </c>
      <c r="K207" s="18">
        <v>14164.48</v>
      </c>
      <c r="L207" s="19">
        <f>SUM(F207:K207)</f>
        <v>2280094.7699999996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124024.86+309945.43+6343.25+11039.04+250099.11</f>
        <v>701451.69</v>
      </c>
      <c r="G208" s="18">
        <f>24402.88+195206.08+2137.97+18479.95+641.88+3044.19+11557.57+44082.6+2803.66+28405.31+10318.37+24815.3+485.33+1896.47-1184.36</f>
        <v>367093.19999999995</v>
      </c>
      <c r="H208" s="18">
        <f>61327.77+41268.9-14898.38+2511.9</f>
        <v>90210.189999999988</v>
      </c>
      <c r="I208" s="18">
        <f>5308.62+12783.49-3768.86</f>
        <v>14323.25</v>
      </c>
      <c r="J208" s="18">
        <f>1214</f>
        <v>1214</v>
      </c>
      <c r="K208" s="18">
        <v>271.54000000000002</v>
      </c>
      <c r="L208" s="19">
        <f>SUM(F208:K208)</f>
        <v>1174563.8699999999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16666.68+7102+35766.33+3504.5</f>
        <v>63039.51</v>
      </c>
      <c r="G210" s="18">
        <f>204.76+15.93+3.88+4619.14+551.32+197.13</f>
        <v>5592.16</v>
      </c>
      <c r="H210" s="18">
        <f>12067.83+163.39+429.2</f>
        <v>12660.42</v>
      </c>
      <c r="I210" s="18">
        <f>6154.41+5537.25</f>
        <v>11691.66</v>
      </c>
      <c r="J210" s="18">
        <v>5535.48</v>
      </c>
      <c r="K210" s="18">
        <v>959</v>
      </c>
      <c r="L210" s="19">
        <f>SUM(F210:K210)</f>
        <v>99478.23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70723.86+286.39+57880</f>
        <v>128890.25</v>
      </c>
      <c r="G212" s="18">
        <f>926.47+346.58+5410.6+5297.24+222.82+66.89+1508.12+283.92+21.85+4428.32+27.81+4335.76+182.26</f>
        <v>23058.639999999996</v>
      </c>
      <c r="H212" s="18">
        <f>51077.05+359.54</f>
        <v>51436.590000000004</v>
      </c>
      <c r="I212" s="18">
        <f>1560.68+1235.76+1096.15</f>
        <v>3892.59</v>
      </c>
      <c r="J212" s="18">
        <f>257.88</f>
        <v>257.88</v>
      </c>
      <c r="K212" s="18"/>
      <c r="L212" s="19">
        <f t="shared" ref="L212:L218" si="2">SUM(F212:K212)</f>
        <v>207535.94999999998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4345.2+89747.4+24990.49</f>
        <v>119083.09</v>
      </c>
      <c r="G213" s="18">
        <f>662.93+13.71+21067.96+14696.01+282.78+4090.87+2304.34+611.71+858.3</f>
        <v>44588.610000000008</v>
      </c>
      <c r="H213" s="18">
        <f>9764.03+489.98+10591.43+1019.13+50459.43</f>
        <v>72324</v>
      </c>
      <c r="I213" s="18">
        <f>3368.73+18322.29+2604.07+3057.71</f>
        <v>27352.799999999999</v>
      </c>
      <c r="J213" s="18">
        <f>451.7+520.04+5600.99</f>
        <v>6572.73</v>
      </c>
      <c r="K213" s="18"/>
      <c r="L213" s="19">
        <f t="shared" si="2"/>
        <v>269921.23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1642.05+91381.71+7405.33</f>
        <v>100429.09000000001</v>
      </c>
      <c r="G214" s="18">
        <f>4276.77+41576.77+127.52</f>
        <v>45981.05999999999</v>
      </c>
      <c r="H214" s="18">
        <f>51712.46-2511.9</f>
        <v>49200.56</v>
      </c>
      <c r="I214" s="18">
        <f>8079.95</f>
        <v>8079.95</v>
      </c>
      <c r="J214" s="18">
        <v>2645.71</v>
      </c>
      <c r="K214" s="18">
        <f>6705.7+17336.18+58.36</f>
        <v>24100.240000000002</v>
      </c>
      <c r="L214" s="19">
        <f t="shared" si="2"/>
        <v>230436.61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161341+1465.83+48179.67</f>
        <v>210986.5</v>
      </c>
      <c r="G215" s="18">
        <f>673.13+33017.95+115.25+22455.88</f>
        <v>56262.209999999992</v>
      </c>
      <c r="H215" s="18">
        <v>39826.699999999997</v>
      </c>
      <c r="I215" s="18">
        <v>3767.15</v>
      </c>
      <c r="J215" s="18">
        <v>147.11000000000001</v>
      </c>
      <c r="K215" s="18">
        <v>934</v>
      </c>
      <c r="L215" s="19">
        <f t="shared" si="2"/>
        <v>311923.67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46442.24+102983.74+5368.25</f>
        <v>154794.23000000001</v>
      </c>
      <c r="G217" s="18">
        <f>13210.45+25166.47+10678.78+8186.16+625.73+9746.16</f>
        <v>67613.75</v>
      </c>
      <c r="H217" s="18">
        <f>17098.02+69923.7+6654.14+79029.57</f>
        <v>172705.43</v>
      </c>
      <c r="I217" s="18">
        <f>2974.72+96683.19</f>
        <v>99657.91</v>
      </c>
      <c r="J217" s="18">
        <f>1472.29+1746.27</f>
        <v>3218.56</v>
      </c>
      <c r="K217" s="18">
        <v>51.48</v>
      </c>
      <c r="L217" s="19">
        <f t="shared" si="2"/>
        <v>498041.36000000004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2819.68+16345.51+3994.26+47121.77</f>
        <v>70281.22</v>
      </c>
      <c r="G218" s="18">
        <f>105.73+12.2+209.74+1184.36+301.85+11079.41</f>
        <v>12893.29</v>
      </c>
      <c r="H218" s="18">
        <f>3687+14898.38+2959+31216.59</f>
        <v>52760.97</v>
      </c>
      <c r="I218" s="18">
        <f>3768.86+13271.51</f>
        <v>17040.37</v>
      </c>
      <c r="J218" s="18">
        <v>176.93</v>
      </c>
      <c r="K218" s="18">
        <v>103.75</v>
      </c>
      <c r="L218" s="19">
        <f t="shared" si="2"/>
        <v>153256.53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3053295.4299999997</v>
      </c>
      <c r="G221" s="41">
        <f>SUM(G207:G220)</f>
        <v>1292186.7100000002</v>
      </c>
      <c r="H221" s="41">
        <f>SUM(H207:H220)</f>
        <v>545899.14</v>
      </c>
      <c r="I221" s="41">
        <f>SUM(I207:I220)</f>
        <v>260265.02000000002</v>
      </c>
      <c r="J221" s="41">
        <f>SUM(J207:J220)</f>
        <v>33021.43</v>
      </c>
      <c r="K221" s="41">
        <f t="shared" si="3"/>
        <v>40584.490000000005</v>
      </c>
      <c r="L221" s="41">
        <f t="shared" si="3"/>
        <v>5225252.2200000007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2875606.45-3639.03</f>
        <v>2871967.4200000004</v>
      </c>
      <c r="G225" s="18">
        <f>8713.88+565232.54+898.4+52358.72+284.04+16094.1+12354.75+214927.28+5436.16+239684.91+6053.15+1788.97+9413.6-264.39</f>
        <v>1132976.1100000001</v>
      </c>
      <c r="H225" s="18">
        <f>3640.5+73824.19-3980.74</f>
        <v>73483.95</v>
      </c>
      <c r="I225" s="18">
        <f>4337.24+160662.18</f>
        <v>164999.41999999998</v>
      </c>
      <c r="J225" s="18">
        <f>28823.1+29510.09</f>
        <v>58333.19</v>
      </c>
      <c r="K225" s="18">
        <v>2803.71</v>
      </c>
      <c r="L225" s="19">
        <f>SUM(F225:K225)</f>
        <v>4304563.8000000007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228287.52+571649.45+101033.34+11675.75+20319.11+106943.7</f>
        <v>1039908.8699999999</v>
      </c>
      <c r="G226" s="18">
        <f>44917.4+236276.16+3935.27+19011.01+1181.49+4246.62+21273.54+64689.5+5160.58+13995.54+18992.6+60240.74+893.34+2628.87-2568.33</f>
        <v>494874.32999999996</v>
      </c>
      <c r="H226" s="18">
        <f>112883.52+765843.27-32307.73+4623.54</f>
        <v>851042.60000000009</v>
      </c>
      <c r="I226" s="18">
        <f>9771.35+5997.35-8172.9</f>
        <v>7595.8000000000011</v>
      </c>
      <c r="J226" s="18">
        <f>1770</f>
        <v>1770</v>
      </c>
      <c r="K226" s="18">
        <f>499.82+39.98</f>
        <v>539.79999999999995</v>
      </c>
      <c r="L226" s="19">
        <f>SUM(F226:K226)</f>
        <v>2395731.3999999994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498142.87</v>
      </c>
      <c r="I227" s="18"/>
      <c r="J227" s="18"/>
      <c r="K227" s="18"/>
      <c r="L227" s="19">
        <f>SUM(F227:K227)</f>
        <v>498142.87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79654+45511.18+132407.6+17467.12+17354</f>
        <v>292393.90000000002</v>
      </c>
      <c r="G228" s="18">
        <f>488.63+1611.9+409.53+19997.74+77.73+3901.33+2013.63+2231.85+2729.8+986.61+1472.28+1441.51+46.06</f>
        <v>37408.6</v>
      </c>
      <c r="H228" s="18">
        <f>55252+58105.59+873.03+275.35+2347.23</f>
        <v>116853.2</v>
      </c>
      <c r="I228" s="18">
        <f>12271.96+51936.25+250</f>
        <v>64458.21</v>
      </c>
      <c r="J228" s="18">
        <v>6738.46</v>
      </c>
      <c r="K228" s="18">
        <f>18445.02+7921.87</f>
        <v>26366.89</v>
      </c>
      <c r="L228" s="19">
        <f>SUM(F228:K228)</f>
        <v>544219.26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278334+19418.84+542.79+58479+28951.4</f>
        <v>385726.03</v>
      </c>
      <c r="G230" s="18">
        <f>54739.55+4656.24+1471.99+21462.61+1778.65+22640.21+939.25+126.78+21032.5+2159.94+428.29+41.41+6321.36+2651.82+52.71+4380.01+275.21</f>
        <v>145158.53</v>
      </c>
      <c r="H230" s="18">
        <f>83600.47+779.68</f>
        <v>84380.15</v>
      </c>
      <c r="I230" s="18">
        <f>5151.3+2679.8+3464.82</f>
        <v>11295.92</v>
      </c>
      <c r="J230" s="18"/>
      <c r="K230" s="18">
        <v>1141.5</v>
      </c>
      <c r="L230" s="19">
        <f t="shared" ref="L230:L236" si="4">SUM(F230:K230)</f>
        <v>627702.13000000012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44050.18+16078.12+95617.92+54192.85+29426.02</f>
        <v>239365.09</v>
      </c>
      <c r="G231" s="18">
        <f>11872.47+430+188.38+21096.04+15945.47+301.22+8871.2+12043.37+4997.04+3191.54+1326.51+2695.43+1861.26+92.81</f>
        <v>84912.739999999962</v>
      </c>
      <c r="H231" s="18">
        <f>21173.68+4756+22967.93+5502.39+109423.27</f>
        <v>163823.27000000002</v>
      </c>
      <c r="I231" s="18">
        <f>7305.22+17135.46+5647.03+1949.84+717.5</f>
        <v>32755.05</v>
      </c>
      <c r="J231" s="18">
        <f>802.28+8008.85</f>
        <v>8811.130000000001</v>
      </c>
      <c r="K231" s="18"/>
      <c r="L231" s="19">
        <f t="shared" si="4"/>
        <v>529667.27999999991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3560.85+198164.83+16058.76</f>
        <v>217784.44</v>
      </c>
      <c r="G232" s="18">
        <f>276.54+90160.86+9274.33</f>
        <v>99711.73</v>
      </c>
      <c r="H232" s="18">
        <f>112140.5-4623.54</f>
        <v>107516.96</v>
      </c>
      <c r="I232" s="18">
        <v>17521.68</v>
      </c>
      <c r="J232" s="18">
        <v>5737.32</v>
      </c>
      <c r="K232" s="18">
        <f>14541.57+750+126.55</f>
        <v>15418.119999999999</v>
      </c>
      <c r="L232" s="19">
        <f t="shared" si="4"/>
        <v>463690.25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255834+3178.71+114030.58</f>
        <v>373043.29</v>
      </c>
      <c r="G233" s="18">
        <f>90817.33+249.93+58118.55+1178.36</f>
        <v>150364.16999999998</v>
      </c>
      <c r="H233" s="18">
        <v>60776.959999999999</v>
      </c>
      <c r="I233" s="18">
        <v>19313.900000000001</v>
      </c>
      <c r="J233" s="18">
        <v>198.09</v>
      </c>
      <c r="K233" s="18">
        <v>5964.18</v>
      </c>
      <c r="L233" s="19">
        <f t="shared" si="4"/>
        <v>609660.59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113128.54+217949.6+13076.5</f>
        <v>344154.64</v>
      </c>
      <c r="G235" s="18">
        <f>32179.31+41860.63+22340.26+19940.63+1524.2+21465.18</f>
        <v>139310.21</v>
      </c>
      <c r="H235" s="18">
        <f>41649.03+231509.04+30325+14429.75+125290.17</f>
        <v>443202.99</v>
      </c>
      <c r="I235" s="18">
        <f>7246.11+250594.5</f>
        <v>257840.61</v>
      </c>
      <c r="J235" s="18">
        <f>3586.34+8487.15</f>
        <v>12073.49</v>
      </c>
      <c r="K235" s="18">
        <v>125.4</v>
      </c>
      <c r="L235" s="19">
        <f t="shared" si="4"/>
        <v>1196707.3399999999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3639.03+30086.52+19374.16+33955.26+102185.41</f>
        <v>189240.38</v>
      </c>
      <c r="G236" s="18">
        <f>264.39+2568.33+1467.52+2240+478+2464.92+24026.13</f>
        <v>33509.29</v>
      </c>
      <c r="H236" s="18">
        <f>3980.74+32307.73+22194+49130.1+67694.41</f>
        <v>175306.98</v>
      </c>
      <c r="I236" s="18">
        <f>8172.9+28779.79</f>
        <v>36952.69</v>
      </c>
      <c r="J236" s="18">
        <v>383.69</v>
      </c>
      <c r="K236" s="18">
        <v>225</v>
      </c>
      <c r="L236" s="19">
        <f t="shared" si="4"/>
        <v>435618.03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5953584.0600000005</v>
      </c>
      <c r="G239" s="41">
        <f t="shared" si="5"/>
        <v>2318225.71</v>
      </c>
      <c r="H239" s="41">
        <f t="shared" si="5"/>
        <v>2574529.9299999997</v>
      </c>
      <c r="I239" s="41">
        <f t="shared" si="5"/>
        <v>612733.28</v>
      </c>
      <c r="J239" s="41">
        <f t="shared" si="5"/>
        <v>94045.37000000001</v>
      </c>
      <c r="K239" s="41">
        <f t="shared" si="5"/>
        <v>52584.600000000006</v>
      </c>
      <c r="L239" s="41">
        <f t="shared" si="5"/>
        <v>11605702.949999999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16686993.6</v>
      </c>
      <c r="G249" s="41">
        <f t="shared" si="8"/>
        <v>6676897.1300000008</v>
      </c>
      <c r="H249" s="41">
        <f t="shared" si="8"/>
        <v>4759412.1899999995</v>
      </c>
      <c r="I249" s="41">
        <f t="shared" si="8"/>
        <v>1399197.47</v>
      </c>
      <c r="J249" s="41">
        <f t="shared" si="8"/>
        <v>179877.73</v>
      </c>
      <c r="K249" s="41">
        <f t="shared" si="8"/>
        <v>251181.76000000004</v>
      </c>
      <c r="L249" s="41">
        <f t="shared" si="8"/>
        <v>29953559.879999999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485000</v>
      </c>
      <c r="L252" s="19">
        <f>SUM(F252:K252)</f>
        <v>485000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70485</v>
      </c>
      <c r="L253" s="19">
        <f>SUM(F253:K253)</f>
        <v>70485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9661.92</v>
      </c>
      <c r="L255" s="19">
        <f>SUM(F255:K255)</f>
        <v>9661.92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285306</v>
      </c>
      <c r="L258" s="19">
        <f t="shared" si="9"/>
        <v>285306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850452.92</v>
      </c>
      <c r="L262" s="41">
        <f t="shared" si="9"/>
        <v>850452.92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16686993.6</v>
      </c>
      <c r="G263" s="42">
        <f t="shared" si="11"/>
        <v>6676897.1300000008</v>
      </c>
      <c r="H263" s="42">
        <f t="shared" si="11"/>
        <v>4759412.1899999995</v>
      </c>
      <c r="I263" s="42">
        <f t="shared" si="11"/>
        <v>1399197.47</v>
      </c>
      <c r="J263" s="42">
        <f t="shared" si="11"/>
        <v>179877.73</v>
      </c>
      <c r="K263" s="42">
        <f t="shared" si="11"/>
        <v>1101634.6800000002</v>
      </c>
      <c r="L263" s="42">
        <f t="shared" si="11"/>
        <v>30804012.800000001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140679.06+78382.02+12000+540+9879.44+3785.56+6100+6687.5+1600.82</f>
        <v>259654.40000000002</v>
      </c>
      <c r="G268" s="18">
        <f>41.31+37.45+713.2+1.02+21.34+1267.88+122.25+456.89+37.22</f>
        <v>2698.56</v>
      </c>
      <c r="H268" s="18">
        <f>27858.04+182.12+3245+6578.75</f>
        <v>37863.910000000003</v>
      </c>
      <c r="I268" s="18">
        <f>143.58+137.2+195.33+98.78+1182.35+299+1870.2+985+400+767.27+233.25+800.4+6071.44</f>
        <v>13183.8</v>
      </c>
      <c r="J268" s="18">
        <f>3249+19700</f>
        <v>22949</v>
      </c>
      <c r="K268" s="18"/>
      <c r="L268" s="19">
        <f>SUM(F268:K268)</f>
        <v>336349.67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121739.64+9214.66</f>
        <v>130954.3</v>
      </c>
      <c r="G269" s="18"/>
      <c r="H269" s="18">
        <f>77281.58+14983.95+250000</f>
        <v>342265.53</v>
      </c>
      <c r="I269" s="18">
        <f>1623.23+1321.95+60</f>
        <v>3005.1800000000003</v>
      </c>
      <c r="J269" s="18">
        <f>2958.84+504</f>
        <v>3462.84</v>
      </c>
      <c r="K269" s="18"/>
      <c r="L269" s="19">
        <f>SUM(F269:K269)</f>
        <v>479687.85000000003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>
        <v>944.44</v>
      </c>
      <c r="J271" s="18"/>
      <c r="K271" s="18"/>
      <c r="L271" s="19">
        <f>SUM(F271:K271)</f>
        <v>944.44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6900+540.7+10426.9+800+737.48+8891.1+27858.04+2773.23+200</f>
        <v>59127.450000000004</v>
      </c>
      <c r="I274" s="18">
        <f>2411.87+1333.49+17545.07</f>
        <v>21290.43</v>
      </c>
      <c r="J274" s="18">
        <v>7200</v>
      </c>
      <c r="K274" s="18"/>
      <c r="L274" s="19">
        <f t="shared" si="12"/>
        <v>87617.88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390608.7</v>
      </c>
      <c r="G282" s="42">
        <f t="shared" si="13"/>
        <v>2698.56</v>
      </c>
      <c r="H282" s="42">
        <f t="shared" si="13"/>
        <v>439256.89000000007</v>
      </c>
      <c r="I282" s="42">
        <f t="shared" si="13"/>
        <v>38423.85</v>
      </c>
      <c r="J282" s="42">
        <f t="shared" si="13"/>
        <v>33611.839999999997</v>
      </c>
      <c r="K282" s="42">
        <f t="shared" si="13"/>
        <v>0</v>
      </c>
      <c r="L282" s="41">
        <f t="shared" si="13"/>
        <v>904599.84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49171.22+27396.68</f>
        <v>76567.899999999994</v>
      </c>
      <c r="G287" s="18"/>
      <c r="H287" s="18">
        <v>9737.15</v>
      </c>
      <c r="I287" s="18">
        <f>1105.95+463.83</f>
        <v>1569.78</v>
      </c>
      <c r="J287" s="18"/>
      <c r="K287" s="18"/>
      <c r="L287" s="19">
        <f>SUM(F287:K287)</f>
        <v>87874.829999999987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45917.27</v>
      </c>
      <c r="G288" s="18"/>
      <c r="H288" s="18">
        <f>29148.76+5651.59</f>
        <v>34800.35</v>
      </c>
      <c r="I288" s="18">
        <v>612.25</v>
      </c>
      <c r="J288" s="18"/>
      <c r="K288" s="18"/>
      <c r="L288" s="19">
        <f>SUM(F288:K288)</f>
        <v>81329.87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3184</v>
      </c>
      <c r="G290" s="18">
        <f>243.56+37.96+31.16</f>
        <v>312.68</v>
      </c>
      <c r="H290" s="18"/>
      <c r="I290" s="18">
        <f>4065+1156.37</f>
        <v>5221.37</v>
      </c>
      <c r="J290" s="18"/>
      <c r="K290" s="18"/>
      <c r="L290" s="19">
        <f>SUM(F290:K290)</f>
        <v>8718.0499999999993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9737.15</v>
      </c>
      <c r="I293" s="18">
        <v>6132.49</v>
      </c>
      <c r="J293" s="18"/>
      <c r="K293" s="18"/>
      <c r="L293" s="19">
        <f t="shared" si="14"/>
        <v>15869.64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125669.16999999998</v>
      </c>
      <c r="G301" s="42">
        <f t="shared" si="15"/>
        <v>312.68</v>
      </c>
      <c r="H301" s="42">
        <f t="shared" si="15"/>
        <v>54274.65</v>
      </c>
      <c r="I301" s="42">
        <f t="shared" si="15"/>
        <v>13535.89</v>
      </c>
      <c r="J301" s="42">
        <f t="shared" si="15"/>
        <v>0</v>
      </c>
      <c r="K301" s="42">
        <f t="shared" si="15"/>
        <v>0</v>
      </c>
      <c r="L301" s="41">
        <f t="shared" si="15"/>
        <v>193792.38999999996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10237.25-2550+18277.89</f>
        <v>25965.14</v>
      </c>
      <c r="G306" s="18">
        <f>51.23+581.61+766.92+32.28</f>
        <v>1432.04</v>
      </c>
      <c r="H306" s="18">
        <f>8500+600+12914.2</f>
        <v>22014.2</v>
      </c>
      <c r="I306" s="18">
        <f>2133+304.89+150</f>
        <v>2587.89</v>
      </c>
      <c r="J306" s="18"/>
      <c r="K306" s="18"/>
      <c r="L306" s="19">
        <f>SUM(F306:K306)</f>
        <v>51999.270000000004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67816.29+50197.88</f>
        <v>118014.16999999998</v>
      </c>
      <c r="G307" s="18"/>
      <c r="H307" s="18">
        <f>43050.47+8346.96</f>
        <v>51397.43</v>
      </c>
      <c r="I307" s="18">
        <v>904.24</v>
      </c>
      <c r="J307" s="18"/>
      <c r="K307" s="18"/>
      <c r="L307" s="19">
        <f>SUM(F307:K307)</f>
        <v>170315.83999999997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3000</v>
      </c>
      <c r="I311" s="18"/>
      <c r="J311" s="18"/>
      <c r="K311" s="18"/>
      <c r="L311" s="19">
        <f t="shared" ref="L311:L317" si="16">SUM(F311:K311)</f>
        <v>3000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>
        <f>152.47+630.5</f>
        <v>782.97</v>
      </c>
      <c r="J312" s="18">
        <v>13773.65</v>
      </c>
      <c r="K312" s="18"/>
      <c r="L312" s="19">
        <f t="shared" si="16"/>
        <v>14556.619999999999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143979.31</v>
      </c>
      <c r="G320" s="42">
        <f t="shared" si="17"/>
        <v>1432.04</v>
      </c>
      <c r="H320" s="42">
        <f t="shared" si="17"/>
        <v>76411.63</v>
      </c>
      <c r="I320" s="42">
        <f t="shared" si="17"/>
        <v>4275.1000000000004</v>
      </c>
      <c r="J320" s="42">
        <f t="shared" si="17"/>
        <v>13773.65</v>
      </c>
      <c r="K320" s="42">
        <f t="shared" si="17"/>
        <v>0</v>
      </c>
      <c r="L320" s="41">
        <f t="shared" si="17"/>
        <v>239871.72999999998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8831.44+31300+540</f>
        <v>40671.440000000002</v>
      </c>
      <c r="G325" s="18">
        <f>14545.8+976.66+2919.74+2324.07+111.45</f>
        <v>20877.719999999998</v>
      </c>
      <c r="H325" s="18">
        <f>88.89+631.45+42+1497.19+13650</f>
        <v>15909.53</v>
      </c>
      <c r="I325" s="18">
        <f>195+4472.79+535.92+350</f>
        <v>5553.71</v>
      </c>
      <c r="J325" s="18"/>
      <c r="K325" s="18">
        <v>1312.84</v>
      </c>
      <c r="L325" s="19">
        <f t="shared" si="18"/>
        <v>84325.24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40671.440000000002</v>
      </c>
      <c r="G329" s="41">
        <f t="shared" si="19"/>
        <v>20877.719999999998</v>
      </c>
      <c r="H329" s="41">
        <f t="shared" si="19"/>
        <v>15909.53</v>
      </c>
      <c r="I329" s="41">
        <f t="shared" si="19"/>
        <v>5553.71</v>
      </c>
      <c r="J329" s="41">
        <f t="shared" si="19"/>
        <v>0</v>
      </c>
      <c r="K329" s="41">
        <f t="shared" si="19"/>
        <v>1312.84</v>
      </c>
      <c r="L329" s="41">
        <f t="shared" si="18"/>
        <v>84325.24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700928.61999999988</v>
      </c>
      <c r="G330" s="41">
        <f t="shared" si="20"/>
        <v>25320.999999999996</v>
      </c>
      <c r="H330" s="41">
        <f t="shared" si="20"/>
        <v>585852.70000000019</v>
      </c>
      <c r="I330" s="41">
        <f t="shared" si="20"/>
        <v>61788.549999999996</v>
      </c>
      <c r="J330" s="41">
        <f t="shared" si="20"/>
        <v>47385.49</v>
      </c>
      <c r="K330" s="41">
        <f t="shared" si="20"/>
        <v>1312.84</v>
      </c>
      <c r="L330" s="41">
        <f t="shared" si="20"/>
        <v>1422589.2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700928.61999999988</v>
      </c>
      <c r="G344" s="41">
        <f>G330</f>
        <v>25320.999999999996</v>
      </c>
      <c r="H344" s="41">
        <f>H330</f>
        <v>585852.70000000019</v>
      </c>
      <c r="I344" s="41">
        <f>I330</f>
        <v>61788.549999999996</v>
      </c>
      <c r="J344" s="41">
        <f>J330</f>
        <v>47385.49</v>
      </c>
      <c r="K344" s="47">
        <f>K330+K343</f>
        <v>1312.84</v>
      </c>
      <c r="L344" s="41">
        <f>L330+L343</f>
        <v>1422589.2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239063</v>
      </c>
      <c r="I350" s="18">
        <v>10867.98</v>
      </c>
      <c r="J350" s="18"/>
      <c r="K350" s="18"/>
      <c r="L350" s="13">
        <f>SUM(F350:K350)</f>
        <v>249930.98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v>97599.11</v>
      </c>
      <c r="I351" s="18">
        <v>4436.93</v>
      </c>
      <c r="J351" s="18"/>
      <c r="K351" s="18"/>
      <c r="L351" s="19">
        <f>SUM(F351:K351)</f>
        <v>102036.04000000001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211647.52</v>
      </c>
      <c r="I352" s="18">
        <v>9621.65</v>
      </c>
      <c r="J352" s="18">
        <v>395</v>
      </c>
      <c r="K352" s="18"/>
      <c r="L352" s="19">
        <f>SUM(F352:K352)</f>
        <v>221664.16999999998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548309.63</v>
      </c>
      <c r="I354" s="47">
        <f t="shared" si="22"/>
        <v>24926.559999999998</v>
      </c>
      <c r="J354" s="47">
        <f t="shared" si="22"/>
        <v>395</v>
      </c>
      <c r="K354" s="47">
        <f t="shared" si="22"/>
        <v>0</v>
      </c>
      <c r="L354" s="47">
        <f t="shared" si="22"/>
        <v>573631.18999999994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10205.950000000001</v>
      </c>
      <c r="G359" s="18">
        <v>4166.6499999999996</v>
      </c>
      <c r="H359" s="18">
        <v>8373.52</v>
      </c>
      <c r="I359" s="56">
        <f>SUM(F359:H359)</f>
        <v>22746.120000000003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10867.98-F359</f>
        <v>662.02999999999884</v>
      </c>
      <c r="G360" s="63">
        <f>4436.93-G359</f>
        <v>270.28000000000065</v>
      </c>
      <c r="H360" s="63">
        <f>9621.65-8373.52</f>
        <v>1248.1299999999992</v>
      </c>
      <c r="I360" s="56">
        <f>SUM(F360:H360)</f>
        <v>2180.4399999999987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10867.98</v>
      </c>
      <c r="G361" s="47">
        <f>SUM(G359:G360)</f>
        <v>4436.93</v>
      </c>
      <c r="H361" s="47">
        <f>SUM(H359:H360)</f>
        <v>9621.65</v>
      </c>
      <c r="I361" s="47">
        <f>SUM(I359:I360)</f>
        <v>24926.560000000001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285306</v>
      </c>
      <c r="H381" s="18">
        <v>16194.82</v>
      </c>
      <c r="I381" s="18"/>
      <c r="J381" s="24" t="s">
        <v>312</v>
      </c>
      <c r="K381" s="24" t="s">
        <v>312</v>
      </c>
      <c r="L381" s="56">
        <f t="shared" si="25"/>
        <v>301500.82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285306</v>
      </c>
      <c r="H385" s="139">
        <f>SUM(H379:H384)</f>
        <v>16194.82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301500.82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2904.93</v>
      </c>
      <c r="I389" s="18"/>
      <c r="J389" s="24" t="s">
        <v>312</v>
      </c>
      <c r="K389" s="24" t="s">
        <v>312</v>
      </c>
      <c r="L389" s="56">
        <f t="shared" si="26"/>
        <v>2904.93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2904.93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2904.93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285306</v>
      </c>
      <c r="H400" s="47">
        <f>H385+H393+H399</f>
        <v>19099.75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304405.75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534990.02+285306+16194.82</f>
        <v>836490.84</v>
      </c>
      <c r="G432" s="18">
        <f>152904.93+2904.93</f>
        <v>155809.85999999999</v>
      </c>
      <c r="H432" s="18"/>
      <c r="I432" s="56">
        <f t="shared" si="33"/>
        <v>992300.7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836490.84</v>
      </c>
      <c r="G438" s="13">
        <f>SUM(G431:G437)</f>
        <v>155809.85999999999</v>
      </c>
      <c r="H438" s="13">
        <f>SUM(H431:H437)</f>
        <v>0</v>
      </c>
      <c r="I438" s="13">
        <f>SUM(I431:I437)</f>
        <v>992300.7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836490.84</v>
      </c>
      <c r="G449" s="18">
        <v>155809.85999999999</v>
      </c>
      <c r="H449" s="18"/>
      <c r="I449" s="56">
        <f>SUM(F449:H449)</f>
        <v>992300.7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836490.84</v>
      </c>
      <c r="G450" s="83">
        <f>SUM(G446:G449)</f>
        <v>155809.85999999999</v>
      </c>
      <c r="H450" s="83">
        <f>SUM(H446:H449)</f>
        <v>0</v>
      </c>
      <c r="I450" s="83">
        <f>SUM(I446:I449)</f>
        <v>992300.7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836490.84</v>
      </c>
      <c r="G451" s="42">
        <f>G444+G450</f>
        <v>155809.85999999999</v>
      </c>
      <c r="H451" s="42">
        <f>H444+H450</f>
        <v>0</v>
      </c>
      <c r="I451" s="42">
        <f>I444+I450</f>
        <v>992300.7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1459993</v>
      </c>
      <c r="G455" s="18">
        <v>0</v>
      </c>
      <c r="H455" s="18">
        <f>0+11154.77+68796.55</f>
        <v>79951.320000000007</v>
      </c>
      <c r="I455" s="18"/>
      <c r="J455" s="18">
        <v>687894.95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31718430.41</v>
      </c>
      <c r="G458" s="18">
        <f>G185</f>
        <v>573631.19000000006</v>
      </c>
      <c r="H458" s="18">
        <f>H185</f>
        <v>1452760.6900000002</v>
      </c>
      <c r="I458" s="18">
        <f>I185</f>
        <v>0</v>
      </c>
      <c r="J458" s="18">
        <f>L400</f>
        <v>304405.75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31718430.41</v>
      </c>
      <c r="G460" s="53">
        <f>SUM(G458:G459)</f>
        <v>573631.19000000006</v>
      </c>
      <c r="H460" s="53">
        <f>SUM(H458:H459)</f>
        <v>1452760.6900000002</v>
      </c>
      <c r="I460" s="53">
        <f>SUM(I458:I459)</f>
        <v>0</v>
      </c>
      <c r="J460" s="53">
        <f>SUM(J458:J459)</f>
        <v>304405.75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30804012.800000001</v>
      </c>
      <c r="G462" s="18">
        <f>L354</f>
        <v>573631.18999999994</v>
      </c>
      <c r="H462" s="18">
        <f>L330</f>
        <v>1422589.2</v>
      </c>
      <c r="I462" s="18">
        <f>L374</f>
        <v>0</v>
      </c>
      <c r="J462" s="18">
        <f>L426</f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30804012.800000001</v>
      </c>
      <c r="G464" s="53">
        <f>SUM(G462:G463)</f>
        <v>573631.18999999994</v>
      </c>
      <c r="H464" s="53">
        <f>SUM(H462:H463)</f>
        <v>1422589.2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2374410.6099999994</v>
      </c>
      <c r="G466" s="53">
        <f>(G455+G460)- G464</f>
        <v>0</v>
      </c>
      <c r="H466" s="53">
        <f>(H455+H460)- H464</f>
        <v>110122.81000000029</v>
      </c>
      <c r="I466" s="53">
        <f>(I455+I460)- I464</f>
        <v>0</v>
      </c>
      <c r="J466" s="53">
        <f>(J455+J460)- J464</f>
        <v>992300.7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4900000</v>
      </c>
      <c r="G483" s="18">
        <v>739000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896</v>
      </c>
      <c r="G484" s="18" t="s">
        <v>896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1360000</v>
      </c>
      <c r="G485" s="18">
        <v>698791</v>
      </c>
      <c r="H485" s="18"/>
      <c r="I485" s="18"/>
      <c r="J485" s="18"/>
      <c r="K485" s="53">
        <f>SUM(F485:J485)</f>
        <v>2058791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340000</v>
      </c>
      <c r="G487" s="18">
        <v>145000</v>
      </c>
      <c r="H487" s="18"/>
      <c r="I487" s="18"/>
      <c r="J487" s="18"/>
      <c r="K487" s="53">
        <f t="shared" si="34"/>
        <v>485000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SUM(F485+F486-F487)</f>
        <v>1020000</v>
      </c>
      <c r="G488" s="205">
        <f>SUM(G485+G486-G487)</f>
        <v>553791</v>
      </c>
      <c r="H488" s="205"/>
      <c r="I488" s="205"/>
      <c r="J488" s="205"/>
      <c r="K488" s="206">
        <f t="shared" si="34"/>
        <v>1573791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59243.3</v>
      </c>
      <c r="G489" s="18">
        <v>41325</v>
      </c>
      <c r="H489" s="18"/>
      <c r="I489" s="18"/>
      <c r="J489" s="18"/>
      <c r="K489" s="53">
        <f t="shared" si="34"/>
        <v>100568.3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1079243.3</v>
      </c>
      <c r="G490" s="42">
        <f>SUM(G488:G489)</f>
        <v>595116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1674359.3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340000</v>
      </c>
      <c r="G491" s="205">
        <v>145000</v>
      </c>
      <c r="H491" s="205"/>
      <c r="I491" s="205"/>
      <c r="J491" s="205"/>
      <c r="K491" s="206">
        <f t="shared" si="34"/>
        <v>485000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32468.3</v>
      </c>
      <c r="G492" s="18">
        <v>19937.5</v>
      </c>
      <c r="H492" s="18"/>
      <c r="I492" s="18"/>
      <c r="J492" s="18"/>
      <c r="K492" s="53">
        <f t="shared" si="34"/>
        <v>52405.8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372468.3</v>
      </c>
      <c r="G493" s="42">
        <f>SUM(G491:G492)</f>
        <v>164937.5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537405.80000000005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824529.69+145942.13+516511.93+130954.3</f>
        <v>1617938.05</v>
      </c>
      <c r="G511" s="18">
        <f>451828.87+36631.48+7258.18+121317.5+54970.5+83941.49+4936.07</f>
        <v>760884.09</v>
      </c>
      <c r="H511" s="18">
        <f>106154.16+200</f>
        <v>106354.16</v>
      </c>
      <c r="I511" s="18">
        <f>10912.52+1623.23+60</f>
        <v>12595.75</v>
      </c>
      <c r="J511" s="18">
        <f>1722.76+347+504</f>
        <v>2573.7600000000002</v>
      </c>
      <c r="K511" s="18"/>
      <c r="L511" s="88">
        <f>SUM(F511:K511)</f>
        <v>2500345.81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309945.43+250099.11+45917.27</f>
        <v>605961.81000000006</v>
      </c>
      <c r="G512" s="18">
        <f>195206.08+18479.95+3044.49+44082.6+28405.31+24815.3+1896.47-0.3</f>
        <v>315929.89999999997</v>
      </c>
      <c r="H512" s="18">
        <v>41268.9</v>
      </c>
      <c r="I512" s="18">
        <f>12783.49+612.25</f>
        <v>13395.74</v>
      </c>
      <c r="J512" s="18">
        <v>1214</v>
      </c>
      <c r="K512" s="18"/>
      <c r="L512" s="88">
        <f>SUM(F512:K512)</f>
        <v>977770.35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106943.7+101033.34+571649.45+67816.29</f>
        <v>847442.78</v>
      </c>
      <c r="G513" s="18">
        <f>236276.16+19011.01+4246.62+64689.5+13995.54+60240.74+2628.87</f>
        <v>401088.44</v>
      </c>
      <c r="H513" s="18">
        <f>765843.27</f>
        <v>765843.27</v>
      </c>
      <c r="I513" s="18">
        <f>5997.35+904.24</f>
        <v>6901.59</v>
      </c>
      <c r="J513" s="18">
        <v>1770</v>
      </c>
      <c r="K513" s="18">
        <v>39.979999999999997</v>
      </c>
      <c r="L513" s="88">
        <f>SUM(F513:K513)</f>
        <v>2023086.06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3071342.6400000006</v>
      </c>
      <c r="G514" s="108">
        <f t="shared" ref="G514:L514" si="35">SUM(G511:G513)</f>
        <v>1477902.43</v>
      </c>
      <c r="H514" s="108">
        <f t="shared" si="35"/>
        <v>913466.33000000007</v>
      </c>
      <c r="I514" s="108">
        <f t="shared" si="35"/>
        <v>32893.08</v>
      </c>
      <c r="J514" s="108">
        <f t="shared" si="35"/>
        <v>5557.76</v>
      </c>
      <c r="K514" s="108">
        <f t="shared" si="35"/>
        <v>39.979999999999997</v>
      </c>
      <c r="L514" s="89">
        <f t="shared" si="35"/>
        <v>5501202.2200000007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284672.61+29295.92</f>
        <v>313968.52999999997</v>
      </c>
      <c r="G516" s="18">
        <f>64761.5+5673.84+1703.46+30672-2901.01+7440.48+27383.37+1288-10732.45-6418.85</f>
        <v>118870.34000000001</v>
      </c>
      <c r="H516" s="18">
        <f>162754.46-48381.52-2597.76+77281.58+14983.95+250000-4781.15</f>
        <v>449259.56</v>
      </c>
      <c r="I516" s="18">
        <f>14088.25-9231.58-312.31+1321.95</f>
        <v>5866.3099999999995</v>
      </c>
      <c r="J516" s="18">
        <f>585.72+2958.84</f>
        <v>3544.5600000000004</v>
      </c>
      <c r="K516" s="18"/>
      <c r="L516" s="88">
        <f>SUM(F516:K516)</f>
        <v>891509.3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107267.94+11039.04</f>
        <v>118306.98000000001</v>
      </c>
      <c r="G517" s="18">
        <f>24402.88+2137.97+641.88+11557.57-1184.36+2803.66+10318.37+485.33-1521.16</f>
        <v>49642.140000000007</v>
      </c>
      <c r="H517" s="18">
        <f>61327.77-18230.72-978.87+29148.76+5651.59+3332.34</f>
        <v>80250.869999999981</v>
      </c>
      <c r="I517" s="18">
        <f>5308.62-3768.86-112.22</f>
        <v>1427.5399999999997</v>
      </c>
      <c r="J517" s="18"/>
      <c r="K517" s="18"/>
      <c r="L517" s="88">
        <f>SUM(F517:K517)</f>
        <v>249627.53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197443.73+20319.11+50197.88</f>
        <v>267960.72000000003</v>
      </c>
      <c r="G518" s="18">
        <f>44917.4+3935.27+1181.49+21273.54-2568.33+5160.58+18992.6+893.34-5132.47</f>
        <v>88653.419999999984</v>
      </c>
      <c r="H518" s="18">
        <f>112883.52-33556.54-1801.76+43050.47+8346.96+1248.81</f>
        <v>130171.46000000002</v>
      </c>
      <c r="I518" s="18">
        <f>9771.35-8172.9-222.07</f>
        <v>1376.3800000000008</v>
      </c>
      <c r="J518" s="18"/>
      <c r="K518" s="18"/>
      <c r="L518" s="88">
        <f>SUM(F518:K518)</f>
        <v>488161.98000000004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700236.23</v>
      </c>
      <c r="G519" s="89">
        <f t="shared" ref="G519:L519" si="36">SUM(G516:G518)</f>
        <v>257165.9</v>
      </c>
      <c r="H519" s="89">
        <f t="shared" si="36"/>
        <v>659681.8899999999</v>
      </c>
      <c r="I519" s="89">
        <f t="shared" si="36"/>
        <v>8670.23</v>
      </c>
      <c r="J519" s="89">
        <f t="shared" si="36"/>
        <v>3544.5600000000004</v>
      </c>
      <c r="K519" s="89">
        <f t="shared" si="36"/>
        <v>0</v>
      </c>
      <c r="L519" s="89">
        <f t="shared" si="36"/>
        <v>1629298.81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61304.29</v>
      </c>
      <c r="G521" s="18">
        <v>10732.45</v>
      </c>
      <c r="H521" s="18">
        <v>2597.7600000000002</v>
      </c>
      <c r="I521" s="18">
        <v>312.31</v>
      </c>
      <c r="J521" s="18"/>
      <c r="K521" s="18">
        <v>720.64</v>
      </c>
      <c r="L521" s="88">
        <f>SUM(F521:K521)</f>
        <v>75667.45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23100.17</v>
      </c>
      <c r="G522" s="18">
        <v>1521.16</v>
      </c>
      <c r="H522" s="18">
        <v>978.87</v>
      </c>
      <c r="I522" s="18">
        <v>112.22</v>
      </c>
      <c r="J522" s="18"/>
      <c r="K522" s="18">
        <v>271.54000000000002</v>
      </c>
      <c r="L522" s="88">
        <f>SUM(F522:K522)</f>
        <v>25983.96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42519.54</v>
      </c>
      <c r="G523" s="18">
        <v>5132.47</v>
      </c>
      <c r="H523" s="18">
        <v>1801.76</v>
      </c>
      <c r="I523" s="18">
        <v>222.07</v>
      </c>
      <c r="J523" s="18"/>
      <c r="K523" s="18">
        <v>499.82</v>
      </c>
      <c r="L523" s="88">
        <f>SUM(F523:K523)</f>
        <v>50175.66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126924</v>
      </c>
      <c r="G524" s="89">
        <f t="shared" ref="G524:L524" si="37">SUM(G521:G523)</f>
        <v>17386.080000000002</v>
      </c>
      <c r="H524" s="89">
        <f t="shared" si="37"/>
        <v>5378.39</v>
      </c>
      <c r="I524" s="89">
        <f t="shared" si="37"/>
        <v>646.59999999999991</v>
      </c>
      <c r="J524" s="89">
        <f t="shared" si="37"/>
        <v>0</v>
      </c>
      <c r="K524" s="89">
        <f t="shared" si="37"/>
        <v>1492</v>
      </c>
      <c r="L524" s="89">
        <f t="shared" si="37"/>
        <v>151827.07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6666.18</v>
      </c>
      <c r="I526" s="18"/>
      <c r="J526" s="18"/>
      <c r="K526" s="18"/>
      <c r="L526" s="88">
        <f>SUM(F526:K526)</f>
        <v>6666.18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2511.9</v>
      </c>
      <c r="I527" s="18"/>
      <c r="J527" s="18"/>
      <c r="K527" s="18"/>
      <c r="L527" s="88">
        <f>SUM(F527:K527)</f>
        <v>2511.9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4623.54</v>
      </c>
      <c r="I528" s="18"/>
      <c r="J528" s="18"/>
      <c r="K528" s="18"/>
      <c r="L528" s="88">
        <f>SUM(F528:K528)</f>
        <v>4623.54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13801.619999999999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13801.619999999999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43378.48</v>
      </c>
      <c r="G531" s="18">
        <v>2901.01</v>
      </c>
      <c r="H531" s="18">
        <f>36492.67+16470</f>
        <v>52962.67</v>
      </c>
      <c r="I531" s="18">
        <v>9231.58</v>
      </c>
      <c r="J531" s="18"/>
      <c r="K531" s="18"/>
      <c r="L531" s="88">
        <f>SUM(F531:K531)</f>
        <v>108473.74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16345.51</v>
      </c>
      <c r="G532" s="18">
        <v>1184.3599999999999</v>
      </c>
      <c r="H532" s="18">
        <v>14898.38</v>
      </c>
      <c r="I532" s="18">
        <v>3768.86</v>
      </c>
      <c r="J532" s="18"/>
      <c r="K532" s="18"/>
      <c r="L532" s="88">
        <f>SUM(F532:K532)</f>
        <v>36197.11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30086.52</v>
      </c>
      <c r="G533" s="18">
        <v>2568.33</v>
      </c>
      <c r="H533" s="18">
        <v>32307.73</v>
      </c>
      <c r="I533" s="18">
        <v>8172.9</v>
      </c>
      <c r="J533" s="18"/>
      <c r="K533" s="18"/>
      <c r="L533" s="88">
        <f>SUM(F533:K533)</f>
        <v>73135.48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89810.510000000009</v>
      </c>
      <c r="G534" s="194">
        <f t="shared" ref="G534:L534" si="39">SUM(G531:G533)</f>
        <v>6653.7</v>
      </c>
      <c r="H534" s="194">
        <f t="shared" si="39"/>
        <v>100168.78</v>
      </c>
      <c r="I534" s="194">
        <f t="shared" si="39"/>
        <v>21173.34</v>
      </c>
      <c r="J534" s="194">
        <f t="shared" si="39"/>
        <v>0</v>
      </c>
      <c r="K534" s="194">
        <f t="shared" si="39"/>
        <v>0</v>
      </c>
      <c r="L534" s="194">
        <f t="shared" si="39"/>
        <v>217806.33000000002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3988313.3800000008</v>
      </c>
      <c r="G535" s="89">
        <f t="shared" ref="G535:L535" si="40">G514+G519+G524+G529+G534</f>
        <v>1759108.1099999999</v>
      </c>
      <c r="H535" s="89">
        <f t="shared" si="40"/>
        <v>1692497.01</v>
      </c>
      <c r="I535" s="89">
        <f t="shared" si="40"/>
        <v>63383.25</v>
      </c>
      <c r="J535" s="89">
        <f t="shared" si="40"/>
        <v>9102.32</v>
      </c>
      <c r="K535" s="89">
        <f t="shared" si="40"/>
        <v>1531.98</v>
      </c>
      <c r="L535" s="89">
        <f t="shared" si="40"/>
        <v>7513936.0500000017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2500345.81</v>
      </c>
      <c r="G539" s="87">
        <f>L516</f>
        <v>891509.3</v>
      </c>
      <c r="H539" s="87">
        <f>L521</f>
        <v>75667.45</v>
      </c>
      <c r="I539" s="87">
        <f>L526</f>
        <v>6666.18</v>
      </c>
      <c r="J539" s="87">
        <f>L531</f>
        <v>108473.74</v>
      </c>
      <c r="K539" s="87">
        <f>SUM(F539:J539)</f>
        <v>3582662.4800000009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977770.35</v>
      </c>
      <c r="G540" s="87">
        <f>L517</f>
        <v>249627.53</v>
      </c>
      <c r="H540" s="87">
        <f>L522</f>
        <v>25983.96</v>
      </c>
      <c r="I540" s="87">
        <f>L527</f>
        <v>2511.9</v>
      </c>
      <c r="J540" s="87">
        <f>L532</f>
        <v>36197.11</v>
      </c>
      <c r="K540" s="87">
        <f>SUM(F540:J540)</f>
        <v>1292090.8499999999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2023086.06</v>
      </c>
      <c r="G541" s="87">
        <f>L518</f>
        <v>488161.98000000004</v>
      </c>
      <c r="H541" s="87">
        <f>L523</f>
        <v>50175.66</v>
      </c>
      <c r="I541" s="87">
        <f>L528</f>
        <v>4623.54</v>
      </c>
      <c r="J541" s="87">
        <f>L533</f>
        <v>73135.48</v>
      </c>
      <c r="K541" s="87">
        <f>SUM(F541:J541)</f>
        <v>2639182.7200000002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5501202.2200000007</v>
      </c>
      <c r="G542" s="89">
        <f t="shared" si="41"/>
        <v>1629298.81</v>
      </c>
      <c r="H542" s="89">
        <f t="shared" si="41"/>
        <v>151827.07</v>
      </c>
      <c r="I542" s="89">
        <f t="shared" si="41"/>
        <v>13801.619999999999</v>
      </c>
      <c r="J542" s="89">
        <f t="shared" si="41"/>
        <v>217806.33000000002</v>
      </c>
      <c r="K542" s="89">
        <f t="shared" si="41"/>
        <v>7513936.0500000007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57354.49</v>
      </c>
      <c r="I568" s="87">
        <f t="shared" si="46"/>
        <v>57354.49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f>1332+3825+4725+3529.34+4500+487.47+487.47</f>
        <v>18886.280000000002</v>
      </c>
      <c r="I569" s="87">
        <f t="shared" si="46"/>
        <v>18886.280000000002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56162.26</v>
      </c>
      <c r="G570" s="18"/>
      <c r="H570" s="18">
        <f>9260.8+12916.07+150389.28+104282.13</f>
        <v>276848.28000000003</v>
      </c>
      <c r="I570" s="87">
        <f t="shared" si="46"/>
        <v>333010.54000000004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15355+34286.9</f>
        <v>49641.9</v>
      </c>
      <c r="G572" s="18">
        <v>41268.9</v>
      </c>
      <c r="H572" s="18">
        <v>284221.51</v>
      </c>
      <c r="I572" s="87">
        <f t="shared" si="46"/>
        <v>375132.31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185397.2</v>
      </c>
      <c r="I573" s="87">
        <f t="shared" si="46"/>
        <v>185397.2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498142.87</v>
      </c>
      <c r="I575" s="87">
        <f t="shared" si="46"/>
        <v>498142.87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115421.87+5923.97+27138.32+76463.12+32507.74+433.38+254.14</f>
        <v>258142.54</v>
      </c>
      <c r="I581" s="18">
        <f>47121.77+11079.41+31216.59+13271.51+176.93+103.75</f>
        <v>102969.95999999998</v>
      </c>
      <c r="J581" s="18">
        <f>102185.41+24026.13+67694.42+28779.79+383.68+225</f>
        <v>223294.43000000002</v>
      </c>
      <c r="K581" s="104">
        <f t="shared" ref="K581:K587" si="47">SUM(H581:J581)</f>
        <v>584406.93000000005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43378.48+2901.01+36492.67+16470+9231.58</f>
        <v>108473.74</v>
      </c>
      <c r="I582" s="18">
        <f>16345.51+1184.36+14898.38+3768.86</f>
        <v>36197.11</v>
      </c>
      <c r="J582" s="18">
        <f>30086.52+2568.33+32307.73+8172.9</f>
        <v>73135.48</v>
      </c>
      <c r="K582" s="104">
        <f t="shared" si="47"/>
        <v>217806.33000000002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19374.16+1467.52+2240+478+22194</f>
        <v>45753.68</v>
      </c>
      <c r="K583" s="104">
        <f t="shared" si="47"/>
        <v>45753.68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3994.26+301.85+2959</f>
        <v>7255.1100000000006</v>
      </c>
      <c r="J584" s="18">
        <f>33955.26+2464.92+49130.1</f>
        <v>85550.28</v>
      </c>
      <c r="K584" s="104">
        <f t="shared" si="47"/>
        <v>92805.39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17273.04</v>
      </c>
      <c r="I585" s="18">
        <v>6834.35</v>
      </c>
      <c r="J585" s="18">
        <v>7884.16</v>
      </c>
      <c r="K585" s="104">
        <f t="shared" si="47"/>
        <v>31991.55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383889.32</v>
      </c>
      <c r="I588" s="108">
        <f>SUM(I581:I587)</f>
        <v>153256.53</v>
      </c>
      <c r="J588" s="108">
        <f>SUM(J581:J587)</f>
        <v>435618.02999999997</v>
      </c>
      <c r="K588" s="108">
        <f>SUM(K581:K587)</f>
        <v>972763.88000000012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52810.93+33611.84</f>
        <v>86422.76999999999</v>
      </c>
      <c r="I594" s="18">
        <v>33021.43</v>
      </c>
      <c r="J594" s="18">
        <f>94045.37+13773.65</f>
        <v>107819.01999999999</v>
      </c>
      <c r="K594" s="104">
        <f>SUM(H594:J594)</f>
        <v>227263.21999999997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86422.76999999999</v>
      </c>
      <c r="I595" s="108">
        <f>SUM(I592:I594)</f>
        <v>33021.43</v>
      </c>
      <c r="J595" s="108">
        <f>SUM(J592:J594)</f>
        <v>107819.01999999999</v>
      </c>
      <c r="K595" s="108">
        <f>SUM(K592:K594)</f>
        <v>227263.21999999997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9690.7099999999991</v>
      </c>
      <c r="G601" s="18">
        <f>741.34+579.87+45.12</f>
        <v>1366.33</v>
      </c>
      <c r="H601" s="18"/>
      <c r="I601" s="18"/>
      <c r="J601" s="18"/>
      <c r="K601" s="18"/>
      <c r="L601" s="88">
        <f>SUM(F601:K601)</f>
        <v>11057.039999999999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17354</v>
      </c>
      <c r="G603" s="18">
        <f>1472.28+1441.51+46.06</f>
        <v>2959.85</v>
      </c>
      <c r="H603" s="18"/>
      <c r="I603" s="18"/>
      <c r="J603" s="18"/>
      <c r="K603" s="18"/>
      <c r="L603" s="88">
        <f>SUM(F603:K603)</f>
        <v>20313.849999999999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27044.71</v>
      </c>
      <c r="G604" s="108">
        <f t="shared" si="48"/>
        <v>4326.18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31370.89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2702184.9799999995</v>
      </c>
      <c r="H607" s="109">
        <f>SUM(F44)</f>
        <v>2702184.98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21446.53</v>
      </c>
      <c r="H608" s="109">
        <f>SUM(G44)</f>
        <v>21446.530000000002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658258.52</v>
      </c>
      <c r="H609" s="109">
        <f>SUM(H44)</f>
        <v>658258.52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224749.34</v>
      </c>
      <c r="H610" s="109">
        <f>SUM(I44)</f>
        <v>224749.34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992300.7</v>
      </c>
      <c r="H611" s="109">
        <f>SUM(J44)</f>
        <v>992300.7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2374410.61</v>
      </c>
      <c r="H612" s="109">
        <f>F466</f>
        <v>2374410.6099999994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110122.81</v>
      </c>
      <c r="H614" s="109">
        <f>H466</f>
        <v>110122.81000000029</v>
      </c>
      <c r="I614" s="121" t="s">
        <v>110</v>
      </c>
      <c r="J614" s="109">
        <f t="shared" si="49"/>
        <v>-2.9103830456733704E-10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992300.7</v>
      </c>
      <c r="H616" s="109">
        <f>J466</f>
        <v>992300.7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31718430.41</v>
      </c>
      <c r="H617" s="104">
        <f>SUM(F458)</f>
        <v>31718430.41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573631.19000000006</v>
      </c>
      <c r="H618" s="104">
        <f>SUM(G458)</f>
        <v>573631.19000000006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1452760.6900000002</v>
      </c>
      <c r="H619" s="104">
        <f>SUM(H458)</f>
        <v>1452760.6900000002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304405.75</v>
      </c>
      <c r="H621" s="104">
        <f>SUM(J458)</f>
        <v>304405.75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30804012.800000001</v>
      </c>
      <c r="H622" s="104">
        <f>SUM(F462)</f>
        <v>30804012.800000001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1422589.2</v>
      </c>
      <c r="H623" s="104">
        <f>SUM(H462)</f>
        <v>1422589.2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24926.559999999998</v>
      </c>
      <c r="H624" s="104">
        <f>I361</f>
        <v>24926.560000000001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573631.18999999994</v>
      </c>
      <c r="H625" s="104">
        <f>SUM(G462)</f>
        <v>573631.18999999994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304405.75</v>
      </c>
      <c r="H627" s="164">
        <f>SUM(J458)</f>
        <v>304405.75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836490.84</v>
      </c>
      <c r="H629" s="104">
        <f>SUM(F451)</f>
        <v>836490.84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155809.85999999999</v>
      </c>
      <c r="H630" s="104">
        <f>SUM(G451)</f>
        <v>155809.85999999999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992300.7</v>
      </c>
      <c r="H632" s="104">
        <f>SUM(I451)</f>
        <v>992300.7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19099.75</v>
      </c>
      <c r="H634" s="104">
        <f>H400</f>
        <v>19099.75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285306</v>
      </c>
      <c r="H635" s="104">
        <f>G400</f>
        <v>285306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304405.75</v>
      </c>
      <c r="H636" s="104">
        <f>L400</f>
        <v>304405.75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972763.88000000012</v>
      </c>
      <c r="H637" s="104">
        <f>L200+L218+L236</f>
        <v>972763.88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227263.21999999997</v>
      </c>
      <c r="H638" s="104">
        <f>(J249+J330)-(J247+J328)</f>
        <v>227263.22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383889.32</v>
      </c>
      <c r="H639" s="104">
        <f>H588</f>
        <v>383889.32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153256.53</v>
      </c>
      <c r="H640" s="104">
        <f>I588</f>
        <v>153256.53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435618.03</v>
      </c>
      <c r="H641" s="104">
        <f>J588</f>
        <v>435618.02999999997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9661.92</v>
      </c>
      <c r="H642" s="104">
        <f>K255+K337</f>
        <v>9661.92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285306</v>
      </c>
      <c r="H645" s="104">
        <f>K258+K339</f>
        <v>285306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14277135.529999999</v>
      </c>
      <c r="G650" s="19">
        <f>(L221+L301+L351)</f>
        <v>5521080.6500000004</v>
      </c>
      <c r="H650" s="19">
        <f>(L239+L320+L352)</f>
        <v>12067238.85</v>
      </c>
      <c r="I650" s="19">
        <f>SUM(F650:H650)</f>
        <v>31865455.030000001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168946.75712190373</v>
      </c>
      <c r="G651" s="19">
        <f>(L351/IF(SUM(L350:L352)=0,1,SUM(L350:L352))*(SUM(G89:G102)))</f>
        <v>68973.674522305548</v>
      </c>
      <c r="H651" s="19">
        <f>(L352/IF(SUM(L350:L352)=0,1,SUM(L350:L352))*(SUM(G89:G102)))</f>
        <v>149839.13835579078</v>
      </c>
      <c r="I651" s="19">
        <f>SUM(F651:H651)</f>
        <v>387759.57000000007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383455.94</v>
      </c>
      <c r="G652" s="19">
        <f>(L218+L298)-(J218+J298)</f>
        <v>153079.6</v>
      </c>
      <c r="H652" s="19">
        <f>(L236+L317)-(J236+J317)</f>
        <v>435234.34</v>
      </c>
      <c r="I652" s="19">
        <f>SUM(F652:H652)</f>
        <v>971769.88000000012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203283.97</v>
      </c>
      <c r="G653" s="200">
        <f>SUM(G565:G577)+SUM(I592:I594)+L602</f>
        <v>74290.33</v>
      </c>
      <c r="H653" s="200">
        <f>SUM(H565:H577)+SUM(J592:J594)+L603</f>
        <v>1448983.5</v>
      </c>
      <c r="I653" s="19">
        <f>SUM(F653:H653)</f>
        <v>1726557.8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13521448.862878095</v>
      </c>
      <c r="G654" s="19">
        <f>G650-SUM(G651:G653)</f>
        <v>5224737.0454776948</v>
      </c>
      <c r="H654" s="19">
        <f>H650-SUM(H651:H653)</f>
        <v>10033181.871644208</v>
      </c>
      <c r="I654" s="19">
        <f>I650-SUM(I651:I653)</f>
        <v>28779367.780000001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692.32</v>
      </c>
      <c r="G655" s="249">
        <v>314.3</v>
      </c>
      <c r="H655" s="249">
        <v>681.14</v>
      </c>
      <c r="I655" s="19">
        <f>SUM(F655:H655)</f>
        <v>1687.7600000000002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19530.63</v>
      </c>
      <c r="G657" s="19">
        <f>ROUND(G654/G655,2)</f>
        <v>16623.41</v>
      </c>
      <c r="H657" s="19">
        <f>ROUND(H654/H655,2)</f>
        <v>14729.98</v>
      </c>
      <c r="I657" s="19">
        <f>ROUND(I654/I655,2)</f>
        <v>17051.810000000001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-36.659999999999997</v>
      </c>
      <c r="I660" s="19">
        <f>SUM(F660:H660)</f>
        <v>-36.659999999999997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19530.63</v>
      </c>
      <c r="G662" s="19">
        <f>ROUND((G654+G659)/(G655+G660),2)</f>
        <v>16623.41</v>
      </c>
      <c r="H662" s="19">
        <f>ROUND((H654+H659)/(H655+H660),2)</f>
        <v>15567.87</v>
      </c>
      <c r="I662" s="19">
        <f>ROUND((I654+I659)/(I655+I660),2)</f>
        <v>17430.419999999998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09DE-9013-4DFB-BAAF-6B344FA379AB}">
  <sheetPr>
    <tabColor indexed="20"/>
  </sheetPr>
  <dimension ref="A1:C52"/>
  <sheetViews>
    <sheetView workbookViewId="0">
      <selection activeCell="B14" sqref="B1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Lebanon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8598477.540000001</v>
      </c>
      <c r="C9" s="230">
        <f>'DOE25'!G189+'DOE25'!G207+'DOE25'!G225+'DOE25'!G268+'DOE25'!G287+'DOE25'!G306</f>
        <v>3286079.7700000009</v>
      </c>
    </row>
    <row r="10" spans="1:3" x14ac:dyDescent="0.2">
      <c r="A10" t="s">
        <v>813</v>
      </c>
      <c r="B10" s="241">
        <v>8177054.5</v>
      </c>
      <c r="C10" s="241">
        <v>3088700.35</v>
      </c>
    </row>
    <row r="11" spans="1:3" x14ac:dyDescent="0.2">
      <c r="A11" t="s">
        <v>814</v>
      </c>
      <c r="B11" s="241">
        <f>353223.04+68200</f>
        <v>421423.04</v>
      </c>
      <c r="C11" s="241">
        <v>197379.42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8598477.5399999991</v>
      </c>
      <c r="C13" s="232">
        <f>SUM(C10:C12)</f>
        <v>3286079.77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3898502.8699999996</v>
      </c>
      <c r="C18" s="230">
        <f>'DOE25'!G190+'DOE25'!G208+'DOE25'!G226+'DOE25'!G269+'DOE25'!G288+'DOE25'!G307</f>
        <v>1752454.4100000001</v>
      </c>
    </row>
    <row r="19" spans="1:3" x14ac:dyDescent="0.2">
      <c r="A19" t="s">
        <v>813</v>
      </c>
      <c r="B19" s="241">
        <v>2643160.3199999998</v>
      </c>
      <c r="C19" s="241">
        <v>1116808.77</v>
      </c>
    </row>
    <row r="20" spans="1:3" x14ac:dyDescent="0.2">
      <c r="A20" t="s">
        <v>814</v>
      </c>
      <c r="B20" s="241">
        <v>1128418.55</v>
      </c>
      <c r="C20" s="241">
        <v>584309.74</v>
      </c>
    </row>
    <row r="21" spans="1:3" x14ac:dyDescent="0.2">
      <c r="A21" t="s">
        <v>815</v>
      </c>
      <c r="B21" s="241">
        <f>92071+34853</f>
        <v>126924</v>
      </c>
      <c r="C21" s="241">
        <v>51335.9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3898502.87</v>
      </c>
      <c r="C22" s="232">
        <f>SUM(C19:C21)</f>
        <v>1752454.41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368308.12</v>
      </c>
      <c r="C36" s="236">
        <f>'DOE25'!G192+'DOE25'!G210+'DOE25'!G228+'DOE25'!G271+'DOE25'!G290+'DOE25'!G309</f>
        <v>44679.77</v>
      </c>
    </row>
    <row r="37" spans="1:3" x14ac:dyDescent="0.2">
      <c r="A37" t="s">
        <v>813</v>
      </c>
      <c r="B37" s="241">
        <v>368308.12</v>
      </c>
      <c r="C37" s="241">
        <v>44679.77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368308.12</v>
      </c>
      <c r="C40" s="232">
        <f>SUM(C37:C39)</f>
        <v>44679.77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5A07-24CA-4021-86EA-1875A5B63BCF}">
  <sheetPr>
    <tabColor indexed="11"/>
  </sheetPr>
  <dimension ref="A1:I51"/>
  <sheetViews>
    <sheetView workbookViewId="0">
      <pane ySplit="4" topLeftCell="A5" activePane="bottomLeft" state="frozen"/>
      <selection pane="bottomLeft" activeCell="B15" sqref="B1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Lebanon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19810796.889999997</v>
      </c>
      <c r="D5" s="20">
        <f>SUM('DOE25'!L189:L192)+SUM('DOE25'!L207:L210)+SUM('DOE25'!L225:L228)-F5-G5</f>
        <v>19647558.999999996</v>
      </c>
      <c r="E5" s="244"/>
      <c r="F5" s="256">
        <f>SUM('DOE25'!J189:J192)+SUM('DOE25'!J207:J210)+SUM('DOE25'!J225:J228)</f>
        <v>103716.57</v>
      </c>
      <c r="G5" s="53">
        <f>SUM('DOE25'!K189:K192)+SUM('DOE25'!K207:K210)+SUM('DOE25'!K225:K228)</f>
        <v>59521.32</v>
      </c>
      <c r="H5" s="260"/>
    </row>
    <row r="6" spans="1:9" x14ac:dyDescent="0.2">
      <c r="A6" s="32">
        <v>2100</v>
      </c>
      <c r="B6" t="s">
        <v>835</v>
      </c>
      <c r="C6" s="246">
        <f t="shared" si="0"/>
        <v>1314369.56</v>
      </c>
      <c r="D6" s="20">
        <f>'DOE25'!L194+'DOE25'!L212+'DOE25'!L230-F6-G6</f>
        <v>1312743.1800000002</v>
      </c>
      <c r="E6" s="244"/>
      <c r="F6" s="256">
        <f>'DOE25'!J194+'DOE25'!J212+'DOE25'!J230</f>
        <v>484.88</v>
      </c>
      <c r="G6" s="53">
        <f>'DOE25'!K194+'DOE25'!K212+'DOE25'!K230</f>
        <v>1141.5</v>
      </c>
      <c r="H6" s="260"/>
    </row>
    <row r="7" spans="1:9" x14ac:dyDescent="0.2">
      <c r="A7" s="32">
        <v>2200</v>
      </c>
      <c r="B7" t="s">
        <v>868</v>
      </c>
      <c r="C7" s="246">
        <f t="shared" si="0"/>
        <v>1573669.41</v>
      </c>
      <c r="D7" s="20">
        <f>'DOE25'!L195+'DOE25'!L213+'DOE25'!L231-F7-G7</f>
        <v>1542106.13</v>
      </c>
      <c r="E7" s="244"/>
      <c r="F7" s="256">
        <f>'DOE25'!J195+'DOE25'!J213+'DOE25'!J231</f>
        <v>31563.279999999999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788064.86999999988</v>
      </c>
      <c r="D8" s="244"/>
      <c r="E8" s="20">
        <f>'DOE25'!L196+'DOE25'!L214+'DOE25'!L232-F8-G8-D9-D11</f>
        <v>593129.41999999993</v>
      </c>
      <c r="F8" s="256">
        <f>'DOE25'!J196+'DOE25'!J214+'DOE25'!J232</f>
        <v>14863.529999999999</v>
      </c>
      <c r="G8" s="53">
        <f>'DOE25'!K196+'DOE25'!K214+'DOE25'!K232</f>
        <v>180071.91999999998</v>
      </c>
      <c r="H8" s="260"/>
    </row>
    <row r="9" spans="1:9" x14ac:dyDescent="0.2">
      <c r="A9" s="32">
        <v>2310</v>
      </c>
      <c r="B9" t="s">
        <v>852</v>
      </c>
      <c r="C9" s="246">
        <f t="shared" si="0"/>
        <v>207149.34</v>
      </c>
      <c r="D9" s="245">
        <v>207149.34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36011.5</v>
      </c>
      <c r="D10" s="244"/>
      <c r="E10" s="245">
        <v>36011.5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344360.94</v>
      </c>
      <c r="D11" s="245">
        <v>344360.94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1497483.2600000002</v>
      </c>
      <c r="D12" s="20">
        <f>'DOE25'!L197+'DOE25'!L215+'DOE25'!L233-F12-G12</f>
        <v>1487354.1300000004</v>
      </c>
      <c r="E12" s="244"/>
      <c r="F12" s="256">
        <f>'DOE25'!J197+'DOE25'!J215+'DOE25'!J233</f>
        <v>595</v>
      </c>
      <c r="G12" s="53">
        <f>'DOE25'!K197+'DOE25'!K215+'DOE25'!K233</f>
        <v>9534.130000000001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3444901.73</v>
      </c>
      <c r="D14" s="20">
        <f>'DOE25'!L199+'DOE25'!L217+'DOE25'!L235-F14-G14</f>
        <v>3416911.26</v>
      </c>
      <c r="E14" s="244"/>
      <c r="F14" s="256">
        <f>'DOE25'!J199+'DOE25'!J217+'DOE25'!J235</f>
        <v>27660.47</v>
      </c>
      <c r="G14" s="53">
        <f>'DOE25'!K199+'DOE25'!K217+'DOE25'!K235</f>
        <v>330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972763.88</v>
      </c>
      <c r="D15" s="20">
        <f>'DOE25'!L200+'DOE25'!L218+'DOE25'!L236-F15-G15</f>
        <v>971186.99</v>
      </c>
      <c r="E15" s="244"/>
      <c r="F15" s="256">
        <f>'DOE25'!J200+'DOE25'!J218+'DOE25'!J236</f>
        <v>994</v>
      </c>
      <c r="G15" s="53">
        <f>'DOE25'!K200+'DOE25'!K218+'DOE25'!K236</f>
        <v>582.89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555485</v>
      </c>
      <c r="D25" s="244"/>
      <c r="E25" s="244"/>
      <c r="F25" s="259"/>
      <c r="G25" s="257"/>
      <c r="H25" s="258">
        <f>'DOE25'!L252+'DOE25'!L253+'DOE25'!L333+'DOE25'!L334</f>
        <v>555485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550885.06999999995</v>
      </c>
      <c r="D29" s="20">
        <f>'DOE25'!L350+'DOE25'!L351+'DOE25'!L352-'DOE25'!I359-F29-G29</f>
        <v>550490.06999999995</v>
      </c>
      <c r="E29" s="244"/>
      <c r="F29" s="256">
        <f>'DOE25'!J350+'DOE25'!J351+'DOE25'!J352</f>
        <v>395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1422589.2</v>
      </c>
      <c r="D31" s="20">
        <f>'DOE25'!L282+'DOE25'!L301+'DOE25'!L320+'DOE25'!L325+'DOE25'!L326+'DOE25'!L327-F31-G31</f>
        <v>1373890.8699999999</v>
      </c>
      <c r="E31" s="244"/>
      <c r="F31" s="256">
        <f>'DOE25'!J282+'DOE25'!J301+'DOE25'!J320+'DOE25'!J325+'DOE25'!J326+'DOE25'!J327</f>
        <v>47385.49</v>
      </c>
      <c r="G31" s="53">
        <f>'DOE25'!K282+'DOE25'!K301+'DOE25'!K320+'DOE25'!K325+'DOE25'!K326+'DOE25'!K327</f>
        <v>1312.84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30853751.909999996</v>
      </c>
      <c r="E33" s="247">
        <f>SUM(E5:E31)</f>
        <v>629140.91999999993</v>
      </c>
      <c r="F33" s="247">
        <f>SUM(F5:F31)</f>
        <v>227658.22</v>
      </c>
      <c r="G33" s="247">
        <f>SUM(G5:G31)</f>
        <v>252494.6</v>
      </c>
      <c r="H33" s="247">
        <f>SUM(H5:H31)</f>
        <v>555485</v>
      </c>
    </row>
    <row r="35" spans="2:8" ht="12" thickBot="1" x14ac:dyDescent="0.25">
      <c r="B35" s="254" t="s">
        <v>881</v>
      </c>
      <c r="D35" s="255">
        <f>E33</f>
        <v>629140.91999999993</v>
      </c>
      <c r="E35" s="250"/>
    </row>
    <row r="36" spans="2:8" ht="12" thickTop="1" x14ac:dyDescent="0.2">
      <c r="B36" t="s">
        <v>849</v>
      </c>
      <c r="D36" s="20">
        <f>D33</f>
        <v>30853751.909999996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3C02-FB7F-4F98-AF5F-6D8E2D45547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41" sqref="C4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Lebanon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2112643.23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992300.7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497465.75999999989</v>
      </c>
      <c r="D12" s="95">
        <f>'DOE25'!G12</f>
        <v>0</v>
      </c>
      <c r="E12" s="95">
        <f>'DOE25'!H12</f>
        <v>114224.53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257.69</v>
      </c>
      <c r="D13" s="95">
        <f>'DOE25'!G13</f>
        <v>10877.81</v>
      </c>
      <c r="E13" s="95">
        <f>'DOE25'!H13</f>
        <v>544033.99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10225.75</v>
      </c>
      <c r="D14" s="95">
        <f>'DOE25'!G14</f>
        <v>10568.72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224749.34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81592.55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2702184.9799999995</v>
      </c>
      <c r="D19" s="41">
        <f>SUM(D9:D18)</f>
        <v>21446.53</v>
      </c>
      <c r="E19" s="41">
        <f>SUM(E9:E18)</f>
        <v>658258.52</v>
      </c>
      <c r="F19" s="41">
        <f>SUM(F9:F18)</f>
        <v>224749.34</v>
      </c>
      <c r="G19" s="41">
        <f>SUM(G9:G18)</f>
        <v>992300.7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108226.73000000001</v>
      </c>
      <c r="D22" s="95">
        <f>'DOE25'!G23</f>
        <v>17380.16</v>
      </c>
      <c r="E22" s="95">
        <f>'DOE25'!H23</f>
        <v>390478.88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219547.64</v>
      </c>
      <c r="D24" s="95">
        <f>'DOE25'!G25</f>
        <v>283.39999999999998</v>
      </c>
      <c r="E24" s="95">
        <f>'DOE25'!H25</f>
        <v>73759.83</v>
      </c>
      <c r="F24" s="95">
        <f>'DOE25'!I25</f>
        <v>224749.34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3782.97</v>
      </c>
      <c r="E30" s="95">
        <f>'DOE25'!H31</f>
        <v>83897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327774.37</v>
      </c>
      <c r="D32" s="41">
        <f>SUM(D22:D31)</f>
        <v>21446.530000000002</v>
      </c>
      <c r="E32" s="41">
        <f>SUM(E22:E31)</f>
        <v>548135.71</v>
      </c>
      <c r="F32" s="41">
        <f>SUM(F22:F31)</f>
        <v>224749.34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81592.55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328910.03999999998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700000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110122.81</v>
      </c>
      <c r="F40" s="95">
        <f>'DOE25'!I41</f>
        <v>0</v>
      </c>
      <c r="G40" s="95">
        <f>'DOE25'!J41</f>
        <v>992300.7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1263908.02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2374410.61</v>
      </c>
      <c r="D42" s="41">
        <f>SUM(D34:D41)</f>
        <v>0</v>
      </c>
      <c r="E42" s="41">
        <f>SUM(E34:E41)</f>
        <v>110122.81</v>
      </c>
      <c r="F42" s="41">
        <f>SUM(F34:F41)</f>
        <v>0</v>
      </c>
      <c r="G42" s="41">
        <f>SUM(G34:G41)</f>
        <v>992300.7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2702184.98</v>
      </c>
      <c r="D43" s="41">
        <f>D42+D32</f>
        <v>21446.530000000002</v>
      </c>
      <c r="E43" s="41">
        <f>E42+E32</f>
        <v>658258.52</v>
      </c>
      <c r="F43" s="41">
        <f>F42+F32</f>
        <v>224749.34</v>
      </c>
      <c r="G43" s="41">
        <f>G42+G32</f>
        <v>992300.7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19880938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3687053.14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4642.5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19099.75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387759.57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75491.7</v>
      </c>
      <c r="D53" s="95">
        <f>SUM('DOE25'!G90:G102)</f>
        <v>0</v>
      </c>
      <c r="E53" s="95">
        <f>SUM('DOE25'!H90:H102)</f>
        <v>114555.41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3767187.3400000003</v>
      </c>
      <c r="D54" s="130">
        <f>SUM(D49:D53)</f>
        <v>387759.57</v>
      </c>
      <c r="E54" s="130">
        <f>SUM(E49:E53)</f>
        <v>114555.41</v>
      </c>
      <c r="F54" s="130">
        <f>SUM(F49:F53)</f>
        <v>0</v>
      </c>
      <c r="G54" s="130">
        <f>SUM(G49:G53)</f>
        <v>19099.75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23648125.34</v>
      </c>
      <c r="D55" s="22">
        <f>D48+D54</f>
        <v>387759.57</v>
      </c>
      <c r="E55" s="22">
        <f>E48+E54</f>
        <v>114555.41</v>
      </c>
      <c r="F55" s="22">
        <f>F48+F54</f>
        <v>0</v>
      </c>
      <c r="G55" s="22">
        <f>G48+G54</f>
        <v>19099.75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2022102.25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4200736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775817.75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6998656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286762.02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242156.45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385122.25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4845.6000000000004</v>
      </c>
      <c r="E69" s="95">
        <f>SUM('DOE25'!H123:H127)</f>
        <v>23400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914040.72</v>
      </c>
      <c r="D70" s="130">
        <f>SUM(D64:D69)</f>
        <v>4845.6000000000004</v>
      </c>
      <c r="E70" s="130">
        <f>SUM(E64:E69)</f>
        <v>23400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7912696.7199999997</v>
      </c>
      <c r="D73" s="130">
        <f>SUM(D71:D72)+D70+D62</f>
        <v>4845.6000000000004</v>
      </c>
      <c r="E73" s="130">
        <f>SUM(E71:E72)+E70+E62</f>
        <v>23400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153394.57</v>
      </c>
      <c r="D80" s="95">
        <f>SUM('DOE25'!G145:G153)</f>
        <v>171364.1</v>
      </c>
      <c r="E80" s="95">
        <f>SUM('DOE25'!H145:H153)</f>
        <v>1314805.2800000003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4213.78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157608.35</v>
      </c>
      <c r="D83" s="131">
        <f>SUM(D77:D82)</f>
        <v>171364.1</v>
      </c>
      <c r="E83" s="131">
        <f>SUM(E77:E82)</f>
        <v>1314805.2800000003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9661.92</v>
      </c>
      <c r="E88" s="95">
        <f>'DOE25'!H171</f>
        <v>0</v>
      </c>
      <c r="F88" s="95">
        <f>'DOE25'!I171</f>
        <v>0</v>
      </c>
      <c r="G88" s="95">
        <f>'DOE25'!J171</f>
        <v>285306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9661.92</v>
      </c>
      <c r="E95" s="86">
        <f>SUM(E85:E94)</f>
        <v>0</v>
      </c>
      <c r="F95" s="86">
        <f>SUM(F85:F94)</f>
        <v>0</v>
      </c>
      <c r="G95" s="86">
        <f>SUM(G85:G94)</f>
        <v>285306</v>
      </c>
    </row>
    <row r="96" spans="1:7" ht="12.75" thickTop="1" thickBot="1" x14ac:dyDescent="0.25">
      <c r="A96" s="33" t="s">
        <v>797</v>
      </c>
      <c r="C96" s="86">
        <f>C55+C73+C83+C95</f>
        <v>31718430.41</v>
      </c>
      <c r="D96" s="86">
        <f>D55+D73+D83+D95</f>
        <v>573631.19000000006</v>
      </c>
      <c r="E96" s="86">
        <f>E55+E73+E83+E95</f>
        <v>1452760.6900000002</v>
      </c>
      <c r="F96" s="86">
        <f>F55+F73+F83+F95</f>
        <v>0</v>
      </c>
      <c r="G96" s="86">
        <f>G55+G73+G95</f>
        <v>304405.75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12093103.33</v>
      </c>
      <c r="D101" s="24" t="s">
        <v>312</v>
      </c>
      <c r="E101" s="95">
        <f>('DOE25'!L268)+('DOE25'!L287)+('DOE25'!L306)</f>
        <v>476223.77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6564796.1599999992</v>
      </c>
      <c r="D102" s="24" t="s">
        <v>312</v>
      </c>
      <c r="E102" s="95">
        <f>('DOE25'!L269)+('DOE25'!L288)+('DOE25'!L307)</f>
        <v>731333.55999999994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498142.87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654754.53</v>
      </c>
      <c r="D104" s="24" t="s">
        <v>312</v>
      </c>
      <c r="E104" s="95">
        <f>+('DOE25'!L271)+('DOE25'!L290)+('DOE25'!L309)</f>
        <v>9662.49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84325.24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19810796.890000001</v>
      </c>
      <c r="D107" s="86">
        <f>SUM(D101:D106)</f>
        <v>0</v>
      </c>
      <c r="E107" s="86">
        <f>SUM(E101:E106)</f>
        <v>1301545.06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1314369.56</v>
      </c>
      <c r="D110" s="24" t="s">
        <v>312</v>
      </c>
      <c r="E110" s="95">
        <f>+('DOE25'!L273)+('DOE25'!L292)+('DOE25'!L311)</f>
        <v>3000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1573669.41</v>
      </c>
      <c r="D111" s="24" t="s">
        <v>312</v>
      </c>
      <c r="E111" s="95">
        <f>+('DOE25'!L274)+('DOE25'!L293)+('DOE25'!L312)</f>
        <v>118044.14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1339575.1499999999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1497483.2600000002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3444901.73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972763.88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573631.18999999994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10142762.99</v>
      </c>
      <c r="D120" s="86">
        <f>SUM(D110:D119)</f>
        <v>573631.18999999994</v>
      </c>
      <c r="E120" s="86">
        <f>SUM(E110:E119)</f>
        <v>121044.14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485000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70485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9661.92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301500.82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2904.93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-19099.75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850452.92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30804012.800000004</v>
      </c>
      <c r="D137" s="86">
        <f>(D107+D120+D136)</f>
        <v>573631.18999999994</v>
      </c>
      <c r="E137" s="86">
        <f>(E107+E120+E136)</f>
        <v>1422589.2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07/03</v>
      </c>
      <c r="C144" s="152" t="str">
        <f>'DOE25'!G481</f>
        <v>12/07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07/12</v>
      </c>
      <c r="C145" s="152" t="str">
        <f>'DOE25'!G482</f>
        <v>01/13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4900000</v>
      </c>
      <c r="C146" s="137">
        <f>'DOE25'!G483</f>
        <v>739000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Various</v>
      </c>
      <c r="C147" s="137" t="str">
        <f>'DOE25'!G484</f>
        <v>Various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1360000</v>
      </c>
      <c r="C148" s="137">
        <f>'DOE25'!G485</f>
        <v>698791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2058791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340000</v>
      </c>
      <c r="C150" s="137">
        <f>'DOE25'!G487</f>
        <v>145000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485000</v>
      </c>
    </row>
    <row r="151" spans="1:7" x14ac:dyDescent="0.2">
      <c r="A151" s="22" t="s">
        <v>35</v>
      </c>
      <c r="B151" s="137">
        <f>'DOE25'!F488</f>
        <v>1020000</v>
      </c>
      <c r="C151" s="137">
        <f>'DOE25'!G488</f>
        <v>553791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1573791</v>
      </c>
    </row>
    <row r="152" spans="1:7" x14ac:dyDescent="0.2">
      <c r="A152" s="22" t="s">
        <v>36</v>
      </c>
      <c r="B152" s="137">
        <f>'DOE25'!F489</f>
        <v>59243.3</v>
      </c>
      <c r="C152" s="137">
        <f>'DOE25'!G489</f>
        <v>41325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100568.3</v>
      </c>
    </row>
    <row r="153" spans="1:7" x14ac:dyDescent="0.2">
      <c r="A153" s="22" t="s">
        <v>37</v>
      </c>
      <c r="B153" s="137">
        <f>'DOE25'!F490</f>
        <v>1079243.3</v>
      </c>
      <c r="C153" s="137">
        <f>'DOE25'!G490</f>
        <v>595116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1674359.3</v>
      </c>
    </row>
    <row r="154" spans="1:7" x14ac:dyDescent="0.2">
      <c r="A154" s="22" t="s">
        <v>38</v>
      </c>
      <c r="B154" s="137">
        <f>'DOE25'!F491</f>
        <v>340000</v>
      </c>
      <c r="C154" s="137">
        <f>'DOE25'!G491</f>
        <v>145000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485000</v>
      </c>
    </row>
    <row r="155" spans="1:7" x14ac:dyDescent="0.2">
      <c r="A155" s="22" t="s">
        <v>39</v>
      </c>
      <c r="B155" s="137">
        <f>'DOE25'!F492</f>
        <v>32468.3</v>
      </c>
      <c r="C155" s="137">
        <f>'DOE25'!G492</f>
        <v>19937.5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52405.8</v>
      </c>
    </row>
    <row r="156" spans="1:7" x14ac:dyDescent="0.2">
      <c r="A156" s="22" t="s">
        <v>269</v>
      </c>
      <c r="B156" s="137">
        <f>'DOE25'!F493</f>
        <v>372468.3</v>
      </c>
      <c r="C156" s="137">
        <f>'DOE25'!G493</f>
        <v>164937.5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537405.80000000005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652E-E577-4BD1-8A72-A7943CD751FB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Lebanon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19531</v>
      </c>
    </row>
    <row r="5" spans="1:4" x14ac:dyDescent="0.2">
      <c r="B5" t="s">
        <v>735</v>
      </c>
      <c r="C5" s="179">
        <f>IF('DOE25'!G655+'DOE25'!G660=0,0,ROUND('DOE25'!G662,0))</f>
        <v>16623</v>
      </c>
    </row>
    <row r="6" spans="1:4" x14ac:dyDescent="0.2">
      <c r="B6" t="s">
        <v>62</v>
      </c>
      <c r="C6" s="179">
        <f>IF('DOE25'!H655+'DOE25'!H660=0,0,ROUND('DOE25'!H662,0))</f>
        <v>15568</v>
      </c>
    </row>
    <row r="7" spans="1:4" x14ac:dyDescent="0.2">
      <c r="B7" t="s">
        <v>736</v>
      </c>
      <c r="C7" s="179">
        <f>IF('DOE25'!I655+'DOE25'!I660=0,0,ROUND('DOE25'!I662,0))</f>
        <v>17430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12569327</v>
      </c>
      <c r="D10" s="182">
        <f>ROUND((C10/$C$28)*100,1)</f>
        <v>39.700000000000003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7296130</v>
      </c>
      <c r="D11" s="182">
        <f>ROUND((C11/$C$28)*100,1)</f>
        <v>23.1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498143</v>
      </c>
      <c r="D12" s="182">
        <f>ROUND((C12/$C$28)*100,1)</f>
        <v>1.6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664417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1317370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1691714</v>
      </c>
      <c r="D16" s="182">
        <f t="shared" si="0"/>
        <v>5.3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1339575</v>
      </c>
      <c r="D17" s="182">
        <f t="shared" si="0"/>
        <v>4.2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1497483</v>
      </c>
      <c r="D18" s="182">
        <f t="shared" si="0"/>
        <v>4.7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3444902</v>
      </c>
      <c r="D20" s="182">
        <f t="shared" si="0"/>
        <v>10.9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972764</v>
      </c>
      <c r="D21" s="182">
        <f t="shared" si="0"/>
        <v>3.1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84325</v>
      </c>
      <c r="D24" s="182">
        <f t="shared" si="0"/>
        <v>0.3</v>
      </c>
    </row>
    <row r="25" spans="1:4" x14ac:dyDescent="0.2">
      <c r="A25">
        <v>5120</v>
      </c>
      <c r="B25" t="s">
        <v>751</v>
      </c>
      <c r="C25" s="179">
        <f>ROUND('DOE25'!L253+'DOE25'!L334,0)</f>
        <v>70485</v>
      </c>
      <c r="D25" s="182">
        <f t="shared" si="0"/>
        <v>0.2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185871.43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31632506.43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31632506.43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485000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19880938</v>
      </c>
      <c r="D35" s="182">
        <f t="shared" ref="D35:D40" si="1">ROUND((C35/$C$41)*100,1)</f>
        <v>59.6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3900842.5</v>
      </c>
      <c r="D36" s="182">
        <f t="shared" si="1"/>
        <v>11.7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6222838</v>
      </c>
      <c r="D37" s="182">
        <f t="shared" si="1"/>
        <v>18.600000000000001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1718104</v>
      </c>
      <c r="D38" s="182">
        <f t="shared" si="1"/>
        <v>5.0999999999999996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1643778</v>
      </c>
      <c r="D39" s="182">
        <f t="shared" si="1"/>
        <v>4.9000000000000004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33366500.5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4152-A7C9-4571-B369-210F9DFAACEC}">
  <sheetPr>
    <tabColor indexed="17"/>
  </sheetPr>
  <dimension ref="A1:IV90"/>
  <sheetViews>
    <sheetView workbookViewId="0">
      <pane ySplit="3" topLeftCell="A4" activePane="bottomLeft" state="frozen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Lebanon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2010-09-08T14:12:26Z</cp:lastPrinted>
  <dcterms:created xsi:type="dcterms:W3CDTF">1997-12-04T19:04:30Z</dcterms:created>
  <dcterms:modified xsi:type="dcterms:W3CDTF">2025-01-02T14:52:05Z</dcterms:modified>
</cp:coreProperties>
</file>