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FA15A48-677D-4716-8A43-83CAC933F2CD}" xr6:coauthVersionLast="47" xr6:coauthVersionMax="47" xr10:uidLastSave="{00000000-0000-0000-0000-000000000000}"/>
  <workbookProtection workbookPassword="B70A" lockStructure="1"/>
  <bookViews>
    <workbookView xWindow="3285" yWindow="3285" windowWidth="21600" windowHeight="11505" tabRatio="855" xr2:uid="{E19B460A-3953-4E2E-99DF-31F2B288AF9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2" i="1" l="1"/>
  <c r="F491" i="1"/>
  <c r="H226" i="1"/>
  <c r="D11" i="13"/>
  <c r="D9" i="13"/>
  <c r="C39" i="12"/>
  <c r="C37" i="12"/>
  <c r="B37" i="12"/>
  <c r="B39" i="12"/>
  <c r="B40" i="12" s="1"/>
  <c r="C20" i="12"/>
  <c r="C19" i="12"/>
  <c r="C21" i="12"/>
  <c r="B20" i="12"/>
  <c r="B21" i="12"/>
  <c r="B19" i="12"/>
  <c r="C10" i="12"/>
  <c r="B10" i="12"/>
  <c r="B12" i="12"/>
  <c r="F42" i="1"/>
  <c r="F39" i="1"/>
  <c r="F43" i="1" s="1"/>
  <c r="G612" i="1" s="1"/>
  <c r="F12" i="1"/>
  <c r="C12" i="2" s="1"/>
  <c r="H12" i="1"/>
  <c r="H23" i="1"/>
  <c r="H33" i="1" s="1"/>
  <c r="H44" i="1" s="1"/>
  <c r="H609" i="1" s="1"/>
  <c r="F37" i="1"/>
  <c r="J171" i="1"/>
  <c r="F462" i="1"/>
  <c r="K258" i="1"/>
  <c r="J594" i="1"/>
  <c r="H594" i="1"/>
  <c r="I594" i="1"/>
  <c r="H41" i="1"/>
  <c r="F601" i="1"/>
  <c r="L601" i="1" s="1"/>
  <c r="I603" i="1"/>
  <c r="I604" i="1" s="1"/>
  <c r="G603" i="1"/>
  <c r="F603" i="1"/>
  <c r="L603" i="1" s="1"/>
  <c r="H653" i="1" s="1"/>
  <c r="G602" i="1"/>
  <c r="G604" i="1"/>
  <c r="F602" i="1"/>
  <c r="I601" i="1"/>
  <c r="G601" i="1"/>
  <c r="J585" i="1"/>
  <c r="I585" i="1"/>
  <c r="H585" i="1"/>
  <c r="J584" i="1"/>
  <c r="I584" i="1"/>
  <c r="I588" i="1" s="1"/>
  <c r="H640" i="1" s="1"/>
  <c r="J583" i="1"/>
  <c r="J582" i="1"/>
  <c r="I582" i="1"/>
  <c r="H582" i="1"/>
  <c r="J581" i="1"/>
  <c r="I581" i="1"/>
  <c r="H581" i="1"/>
  <c r="H572" i="1"/>
  <c r="H569" i="1"/>
  <c r="I569" i="1" s="1"/>
  <c r="F572" i="1"/>
  <c r="F569" i="1"/>
  <c r="H518" i="1"/>
  <c r="H519" i="1" s="1"/>
  <c r="H517" i="1"/>
  <c r="H516" i="1"/>
  <c r="G518" i="1"/>
  <c r="F518" i="1"/>
  <c r="G516" i="1"/>
  <c r="F516" i="1"/>
  <c r="I516" i="1"/>
  <c r="I518" i="1"/>
  <c r="I517" i="1"/>
  <c r="I519" i="1" s="1"/>
  <c r="G517" i="1"/>
  <c r="F517" i="1"/>
  <c r="J513" i="1"/>
  <c r="L513" i="1" s="1"/>
  <c r="F541" i="1" s="1"/>
  <c r="I513" i="1"/>
  <c r="G513" i="1"/>
  <c r="F513" i="1"/>
  <c r="I512" i="1"/>
  <c r="G512" i="1"/>
  <c r="F512" i="1"/>
  <c r="I511" i="1"/>
  <c r="G511" i="1"/>
  <c r="F511" i="1"/>
  <c r="F514" i="1" s="1"/>
  <c r="H512" i="1"/>
  <c r="H513" i="1"/>
  <c r="J512" i="1"/>
  <c r="J514" i="1" s="1"/>
  <c r="J535" i="1" s="1"/>
  <c r="K511" i="1"/>
  <c r="J511" i="1"/>
  <c r="H511" i="1"/>
  <c r="H462" i="1"/>
  <c r="K268" i="1"/>
  <c r="F271" i="1"/>
  <c r="J268" i="1"/>
  <c r="J458" i="1"/>
  <c r="H388" i="1"/>
  <c r="L388" i="1" s="1"/>
  <c r="H392" i="1"/>
  <c r="L392" i="1" s="1"/>
  <c r="H391" i="1"/>
  <c r="H389" i="1"/>
  <c r="G392" i="1"/>
  <c r="G388" i="1"/>
  <c r="H360" i="1"/>
  <c r="G360" i="1"/>
  <c r="F360" i="1"/>
  <c r="I352" i="1"/>
  <c r="H352" i="1"/>
  <c r="I351" i="1"/>
  <c r="H351" i="1"/>
  <c r="H354" i="1" s="1"/>
  <c r="I350" i="1"/>
  <c r="H350" i="1"/>
  <c r="H312" i="1"/>
  <c r="H320" i="1" s="1"/>
  <c r="H330" i="1" s="1"/>
  <c r="H344" i="1" s="1"/>
  <c r="G312" i="1"/>
  <c r="F312" i="1"/>
  <c r="H293" i="1"/>
  <c r="H274" i="1"/>
  <c r="H311" i="1"/>
  <c r="H292" i="1"/>
  <c r="H273" i="1"/>
  <c r="J307" i="1"/>
  <c r="I307" i="1"/>
  <c r="I320" i="1" s="1"/>
  <c r="G307" i="1"/>
  <c r="L307" i="1" s="1"/>
  <c r="F307" i="1"/>
  <c r="I288" i="1"/>
  <c r="L288" i="1" s="1"/>
  <c r="G288" i="1"/>
  <c r="F288" i="1"/>
  <c r="I269" i="1"/>
  <c r="G269" i="1"/>
  <c r="F269" i="1"/>
  <c r="I273" i="1"/>
  <c r="H268" i="1"/>
  <c r="G268" i="1"/>
  <c r="F268" i="1"/>
  <c r="F274" i="1"/>
  <c r="G311" i="1"/>
  <c r="F311" i="1"/>
  <c r="L311" i="1" s="1"/>
  <c r="E110" i="2" s="1"/>
  <c r="G292" i="1"/>
  <c r="F292" i="1"/>
  <c r="G273" i="1"/>
  <c r="F273" i="1"/>
  <c r="H288" i="1"/>
  <c r="F287" i="1"/>
  <c r="J312" i="1"/>
  <c r="J293" i="1"/>
  <c r="F293" i="1"/>
  <c r="F301" i="1" s="1"/>
  <c r="J274" i="1"/>
  <c r="J282" i="1" s="1"/>
  <c r="I311" i="1"/>
  <c r="I287" i="1"/>
  <c r="L287" i="1" s="1"/>
  <c r="I268" i="1"/>
  <c r="G171" i="1"/>
  <c r="G150" i="1"/>
  <c r="G124" i="1"/>
  <c r="G89" i="1"/>
  <c r="G41" i="1"/>
  <c r="F29" i="1"/>
  <c r="F25" i="1"/>
  <c r="G13" i="1"/>
  <c r="D13" i="2" s="1"/>
  <c r="I9" i="1"/>
  <c r="F9" i="2" s="1"/>
  <c r="H13" i="1"/>
  <c r="H151" i="1"/>
  <c r="H154" i="1" s="1"/>
  <c r="H161" i="1" s="1"/>
  <c r="H146" i="1"/>
  <c r="H147" i="1"/>
  <c r="H138" i="1"/>
  <c r="H37" i="1"/>
  <c r="F110" i="1"/>
  <c r="F49" i="1"/>
  <c r="I199" i="1"/>
  <c r="I232" i="1"/>
  <c r="I214" i="1"/>
  <c r="L214" i="1" s="1"/>
  <c r="I196" i="1"/>
  <c r="H231" i="1"/>
  <c r="H213" i="1"/>
  <c r="L213" i="1" s="1"/>
  <c r="H195" i="1"/>
  <c r="I228" i="1"/>
  <c r="I225" i="1"/>
  <c r="I207" i="1"/>
  <c r="I189" i="1"/>
  <c r="I227" i="1"/>
  <c r="G227" i="1"/>
  <c r="F227" i="1"/>
  <c r="H227" i="1"/>
  <c r="H236" i="1"/>
  <c r="L236" i="1" s="1"/>
  <c r="H218" i="1"/>
  <c r="H200" i="1"/>
  <c r="G236" i="1"/>
  <c r="F236" i="1"/>
  <c r="J236" i="1"/>
  <c r="I236" i="1"/>
  <c r="G218" i="1"/>
  <c r="F218" i="1"/>
  <c r="I200" i="1"/>
  <c r="G200" i="1"/>
  <c r="F200" i="1"/>
  <c r="L200" i="1" s="1"/>
  <c r="H235" i="1"/>
  <c r="L235" i="1" s="1"/>
  <c r="H217" i="1"/>
  <c r="H199" i="1"/>
  <c r="L199" i="1" s="1"/>
  <c r="I235" i="1"/>
  <c r="I217" i="1"/>
  <c r="K235" i="1"/>
  <c r="J235" i="1"/>
  <c r="G235" i="1"/>
  <c r="F235" i="1"/>
  <c r="K217" i="1"/>
  <c r="J217" i="1"/>
  <c r="G217" i="1"/>
  <c r="F217" i="1"/>
  <c r="L217" i="1" s="1"/>
  <c r="K199" i="1"/>
  <c r="J199" i="1"/>
  <c r="J203" i="1" s="1"/>
  <c r="G199" i="1"/>
  <c r="F199" i="1"/>
  <c r="I233" i="1"/>
  <c r="H233" i="1"/>
  <c r="I215" i="1"/>
  <c r="K233" i="1"/>
  <c r="G233" i="1"/>
  <c r="F233" i="1"/>
  <c r="K215" i="1"/>
  <c r="G12" i="13" s="1"/>
  <c r="H215" i="1"/>
  <c r="G215" i="1"/>
  <c r="F215" i="1"/>
  <c r="K197" i="1"/>
  <c r="J197" i="1"/>
  <c r="I197" i="1"/>
  <c r="H197" i="1"/>
  <c r="G197" i="1"/>
  <c r="F197" i="1"/>
  <c r="G196" i="1"/>
  <c r="K232" i="1"/>
  <c r="J232" i="1"/>
  <c r="J239" i="1" s="1"/>
  <c r="H232" i="1"/>
  <c r="G232" i="1"/>
  <c r="F232" i="1"/>
  <c r="K214" i="1"/>
  <c r="J214" i="1"/>
  <c r="H214" i="1"/>
  <c r="G214" i="1"/>
  <c r="F214" i="1"/>
  <c r="K196" i="1"/>
  <c r="J196" i="1"/>
  <c r="H196" i="1"/>
  <c r="F196" i="1"/>
  <c r="L196" i="1" s="1"/>
  <c r="I231" i="1"/>
  <c r="I213" i="1"/>
  <c r="I195" i="1"/>
  <c r="K231" i="1"/>
  <c r="J195" i="1"/>
  <c r="G231" i="1"/>
  <c r="F231" i="1"/>
  <c r="G213" i="1"/>
  <c r="F213" i="1"/>
  <c r="G195" i="1"/>
  <c r="F195" i="1"/>
  <c r="H194" i="1"/>
  <c r="H203" i="1" s="1"/>
  <c r="H230" i="1"/>
  <c r="H212" i="1"/>
  <c r="G230" i="1"/>
  <c r="F230" i="1"/>
  <c r="G194" i="1"/>
  <c r="F194" i="1"/>
  <c r="L194" i="1" s="1"/>
  <c r="I194" i="1"/>
  <c r="I230" i="1"/>
  <c r="I212" i="1"/>
  <c r="G212" i="1"/>
  <c r="F212" i="1"/>
  <c r="L212" i="1" s="1"/>
  <c r="K230" i="1"/>
  <c r="K194" i="1"/>
  <c r="G210" i="1"/>
  <c r="G221" i="1" s="1"/>
  <c r="F210" i="1"/>
  <c r="G228" i="1"/>
  <c r="F228" i="1"/>
  <c r="I192" i="1"/>
  <c r="G192" i="1"/>
  <c r="F192" i="1"/>
  <c r="K228" i="1"/>
  <c r="H228" i="1"/>
  <c r="K210" i="1"/>
  <c r="G5" i="13" s="1"/>
  <c r="I210" i="1"/>
  <c r="L210" i="1" s="1"/>
  <c r="H210" i="1"/>
  <c r="I226" i="1"/>
  <c r="K208" i="1"/>
  <c r="I208" i="1"/>
  <c r="K190" i="1"/>
  <c r="I190" i="1"/>
  <c r="G226" i="1"/>
  <c r="L226" i="1" s="1"/>
  <c r="F226" i="1"/>
  <c r="G208" i="1"/>
  <c r="F208" i="1"/>
  <c r="G190" i="1"/>
  <c r="G203" i="1" s="1"/>
  <c r="G249" i="1" s="1"/>
  <c r="G263" i="1" s="1"/>
  <c r="F190" i="1"/>
  <c r="J226" i="1"/>
  <c r="J208" i="1"/>
  <c r="H208" i="1"/>
  <c r="J190" i="1"/>
  <c r="H190" i="1"/>
  <c r="K225" i="1"/>
  <c r="J225" i="1"/>
  <c r="H225" i="1"/>
  <c r="G225" i="1"/>
  <c r="F225" i="1"/>
  <c r="J207" i="1"/>
  <c r="F5" i="13" s="1"/>
  <c r="H207" i="1"/>
  <c r="H221" i="1" s="1"/>
  <c r="G207" i="1"/>
  <c r="F207" i="1"/>
  <c r="B9" i="12" s="1"/>
  <c r="A13" i="12" s="1"/>
  <c r="K189" i="1"/>
  <c r="J189" i="1"/>
  <c r="H189" i="1"/>
  <c r="G189" i="1"/>
  <c r="F189" i="1"/>
  <c r="L189" i="1" s="1"/>
  <c r="F102" i="1"/>
  <c r="C29" i="2"/>
  <c r="F14" i="1"/>
  <c r="F9" i="1"/>
  <c r="F19" i="1" s="1"/>
  <c r="G607" i="1" s="1"/>
  <c r="C60" i="2"/>
  <c r="B2" i="13"/>
  <c r="F8" i="13"/>
  <c r="G8" i="13"/>
  <c r="D39" i="13"/>
  <c r="F13" i="13"/>
  <c r="G13" i="13"/>
  <c r="L198" i="1"/>
  <c r="L216" i="1"/>
  <c r="L234" i="1"/>
  <c r="F16" i="13"/>
  <c r="G16" i="13"/>
  <c r="E16" i="13" s="1"/>
  <c r="C16" i="13" s="1"/>
  <c r="L201" i="1"/>
  <c r="L219" i="1"/>
  <c r="L237" i="1"/>
  <c r="L191" i="1"/>
  <c r="L208" i="1"/>
  <c r="L209" i="1"/>
  <c r="L225" i="1"/>
  <c r="L228" i="1"/>
  <c r="F6" i="13"/>
  <c r="F7" i="13"/>
  <c r="G7" i="13"/>
  <c r="L195" i="1"/>
  <c r="F12" i="13"/>
  <c r="L197" i="1"/>
  <c r="L233" i="1"/>
  <c r="G14" i="13"/>
  <c r="F15" i="13"/>
  <c r="G15" i="13"/>
  <c r="L218" i="1"/>
  <c r="F17" i="13"/>
  <c r="G17" i="13"/>
  <c r="L243" i="1"/>
  <c r="F18" i="13"/>
  <c r="G18" i="13"/>
  <c r="L244" i="1"/>
  <c r="C106" i="2" s="1"/>
  <c r="F19" i="13"/>
  <c r="D19" i="13" s="1"/>
  <c r="C19" i="13" s="1"/>
  <c r="G19" i="13"/>
  <c r="L245" i="1"/>
  <c r="F29" i="13"/>
  <c r="G29" i="13"/>
  <c r="L352" i="1"/>
  <c r="I359" i="1"/>
  <c r="I361" i="1" s="1"/>
  <c r="H624" i="1" s="1"/>
  <c r="J301" i="1"/>
  <c r="J320" i="1"/>
  <c r="K282" i="1"/>
  <c r="K301" i="1"/>
  <c r="K320" i="1"/>
  <c r="L269" i="1"/>
  <c r="L270" i="1"/>
  <c r="L271" i="1"/>
  <c r="L273" i="1"/>
  <c r="L275" i="1"/>
  <c r="L276" i="1"/>
  <c r="L277" i="1"/>
  <c r="E114" i="2" s="1"/>
  <c r="L278" i="1"/>
  <c r="L279" i="1"/>
  <c r="L280" i="1"/>
  <c r="L289" i="1"/>
  <c r="L290" i="1"/>
  <c r="L292" i="1"/>
  <c r="L293" i="1"/>
  <c r="L294" i="1"/>
  <c r="L295" i="1"/>
  <c r="L296" i="1"/>
  <c r="L297" i="1"/>
  <c r="L298" i="1"/>
  <c r="L299" i="1"/>
  <c r="L306" i="1"/>
  <c r="L308" i="1"/>
  <c r="L309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C124" i="2" s="1"/>
  <c r="H25" i="13"/>
  <c r="L333" i="1"/>
  <c r="L334" i="1"/>
  <c r="E124" i="2" s="1"/>
  <c r="E136" i="2" s="1"/>
  <c r="L247" i="1"/>
  <c r="F22" i="13" s="1"/>
  <c r="C22" i="13" s="1"/>
  <c r="L328" i="1"/>
  <c r="C11" i="13"/>
  <c r="C10" i="13"/>
  <c r="C9" i="13"/>
  <c r="L353" i="1"/>
  <c r="B4" i="12"/>
  <c r="C36" i="12"/>
  <c r="C40" i="12"/>
  <c r="B27" i="12"/>
  <c r="A31" i="12" s="1"/>
  <c r="C27" i="12"/>
  <c r="B31" i="12"/>
  <c r="C31" i="12"/>
  <c r="B13" i="12"/>
  <c r="C9" i="12"/>
  <c r="C13" i="12"/>
  <c r="B22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9" i="1"/>
  <c r="L390" i="1"/>
  <c r="L391" i="1"/>
  <c r="L395" i="1"/>
  <c r="L399" i="1" s="1"/>
  <c r="C132" i="2" s="1"/>
  <c r="L396" i="1"/>
  <c r="L397" i="1"/>
  <c r="L398" i="1"/>
  <c r="L258" i="1"/>
  <c r="J52" i="1"/>
  <c r="G51" i="2"/>
  <c r="G54" i="2" s="1"/>
  <c r="G53" i="2"/>
  <c r="G69" i="2"/>
  <c r="G70" i="2"/>
  <c r="G73" i="2" s="1"/>
  <c r="G61" i="2"/>
  <c r="G62" i="2" s="1"/>
  <c r="G88" i="2"/>
  <c r="G89" i="2"/>
  <c r="G95" i="2" s="1"/>
  <c r="G90" i="2"/>
  <c r="F2" i="11"/>
  <c r="L602" i="1"/>
  <c r="G653" i="1" s="1"/>
  <c r="C40" i="10"/>
  <c r="F52" i="1"/>
  <c r="C48" i="2"/>
  <c r="C55" i="2" s="1"/>
  <c r="G52" i="1"/>
  <c r="H52" i="1"/>
  <c r="H104" i="1" s="1"/>
  <c r="H185" i="1" s="1"/>
  <c r="G619" i="1" s="1"/>
  <c r="J619" i="1" s="1"/>
  <c r="I52" i="1"/>
  <c r="F48" i="2" s="1"/>
  <c r="F55" i="2" s="1"/>
  <c r="F71" i="1"/>
  <c r="F86" i="1"/>
  <c r="F103" i="1"/>
  <c r="G103" i="1"/>
  <c r="H71" i="1"/>
  <c r="H86" i="1"/>
  <c r="E50" i="2"/>
  <c r="E54" i="2" s="1"/>
  <c r="E55" i="2" s="1"/>
  <c r="H103" i="1"/>
  <c r="I103" i="1"/>
  <c r="I104" i="1"/>
  <c r="J103" i="1"/>
  <c r="C37" i="10"/>
  <c r="F113" i="1"/>
  <c r="F128" i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 s="1"/>
  <c r="F139" i="1"/>
  <c r="F154" i="1"/>
  <c r="F161" i="1"/>
  <c r="G139" i="1"/>
  <c r="G154" i="1"/>
  <c r="H139" i="1"/>
  <c r="I139" i="1"/>
  <c r="I154" i="1"/>
  <c r="I161" i="1"/>
  <c r="L242" i="1"/>
  <c r="L324" i="1"/>
  <c r="C23" i="10"/>
  <c r="L246" i="1"/>
  <c r="L260" i="1"/>
  <c r="C26" i="10" s="1"/>
  <c r="L261" i="1"/>
  <c r="L341" i="1"/>
  <c r="L342" i="1"/>
  <c r="I655" i="1"/>
  <c r="I660" i="1"/>
  <c r="G652" i="1"/>
  <c r="I659" i="1"/>
  <c r="C42" i="10"/>
  <c r="C3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1" i="1"/>
  <c r="F539" i="1" s="1"/>
  <c r="L516" i="1"/>
  <c r="G539" i="1" s="1"/>
  <c r="L518" i="1"/>
  <c r="G541" i="1" s="1"/>
  <c r="L521" i="1"/>
  <c r="H539" i="1" s="1"/>
  <c r="H542" i="1" s="1"/>
  <c r="L522" i="1"/>
  <c r="H540" i="1" s="1"/>
  <c r="L523" i="1"/>
  <c r="H541" i="1"/>
  <c r="L526" i="1"/>
  <c r="I539" i="1" s="1"/>
  <c r="I542" i="1" s="1"/>
  <c r="L527" i="1"/>
  <c r="I540" i="1"/>
  <c r="L528" i="1"/>
  <c r="I541" i="1"/>
  <c r="L531" i="1"/>
  <c r="J539" i="1" s="1"/>
  <c r="J542" i="1" s="1"/>
  <c r="L532" i="1"/>
  <c r="J540" i="1"/>
  <c r="L533" i="1"/>
  <c r="J541" i="1" s="1"/>
  <c r="E123" i="2"/>
  <c r="K262" i="1"/>
  <c r="L262" i="1"/>
  <c r="J262" i="1"/>
  <c r="I262" i="1"/>
  <c r="H262" i="1"/>
  <c r="G262" i="1"/>
  <c r="F262" i="1"/>
  <c r="C123" i="2"/>
  <c r="A1" i="2"/>
  <c r="A2" i="2"/>
  <c r="D9" i="2"/>
  <c r="E9" i="2"/>
  <c r="E19" i="2" s="1"/>
  <c r="I431" i="1"/>
  <c r="C10" i="2"/>
  <c r="D10" i="2"/>
  <c r="E10" i="2"/>
  <c r="F10" i="2"/>
  <c r="I432" i="1"/>
  <c r="C11" i="2"/>
  <c r="D12" i="2"/>
  <c r="E12" i="2"/>
  <c r="F12" i="2"/>
  <c r="I433" i="1"/>
  <c r="J12" i="1"/>
  <c r="G12" i="2" s="1"/>
  <c r="C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F22" i="2"/>
  <c r="I440" i="1"/>
  <c r="I444" i="1" s="1"/>
  <c r="I451" i="1" s="1"/>
  <c r="H632" i="1" s="1"/>
  <c r="C23" i="2"/>
  <c r="D23" i="2"/>
  <c r="E23" i="2"/>
  <c r="F23" i="2"/>
  <c r="F32" i="2" s="1"/>
  <c r="I441" i="1"/>
  <c r="J24" i="1"/>
  <c r="G23" i="2" s="1"/>
  <c r="C24" i="2"/>
  <c r="D24" i="2"/>
  <c r="E24" i="2"/>
  <c r="F24" i="2"/>
  <c r="I442" i="1"/>
  <c r="J25" i="1" s="1"/>
  <c r="G24" i="2" s="1"/>
  <c r="C25" i="2"/>
  <c r="C32" i="2" s="1"/>
  <c r="D25" i="2"/>
  <c r="D32" i="2" s="1"/>
  <c r="E25" i="2"/>
  <c r="F25" i="2"/>
  <c r="C26" i="2"/>
  <c r="F26" i="2"/>
  <c r="C27" i="2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/>
  <c r="G36" i="2" s="1"/>
  <c r="G42" i="2" s="1"/>
  <c r="C37" i="2"/>
  <c r="D37" i="2"/>
  <c r="E37" i="2"/>
  <c r="F37" i="2"/>
  <c r="I447" i="1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E48" i="2"/>
  <c r="C49" i="2"/>
  <c r="E49" i="2"/>
  <c r="C50" i="2"/>
  <c r="C51" i="2"/>
  <c r="D51" i="2"/>
  <c r="E51" i="2"/>
  <c r="F51" i="2"/>
  <c r="F54" i="2" s="1"/>
  <c r="F53" i="2"/>
  <c r="F64" i="2"/>
  <c r="F65" i="2"/>
  <c r="F68" i="2"/>
  <c r="F69" i="2"/>
  <c r="F70" i="2"/>
  <c r="F73" i="2" s="1"/>
  <c r="F61" i="2"/>
  <c r="F62" i="2" s="1"/>
  <c r="F77" i="2"/>
  <c r="F79" i="2"/>
  <c r="F80" i="2"/>
  <c r="F81" i="2"/>
  <c r="F85" i="2"/>
  <c r="F86" i="2"/>
  <c r="F88" i="2"/>
  <c r="F89" i="2"/>
  <c r="F91" i="2"/>
  <c r="F92" i="2"/>
  <c r="F93" i="2"/>
  <c r="F94" i="2"/>
  <c r="F95" i="2"/>
  <c r="D52" i="2"/>
  <c r="D54" i="2" s="1"/>
  <c r="C53" i="2"/>
  <c r="D53" i="2"/>
  <c r="E53" i="2"/>
  <c r="C58" i="2"/>
  <c r="C59" i="2"/>
  <c r="C62" i="2" s="1"/>
  <c r="C61" i="2"/>
  <c r="D61" i="2"/>
  <c r="E61" i="2"/>
  <c r="E62" i="2"/>
  <c r="D62" i="2"/>
  <c r="C64" i="2"/>
  <c r="C70" i="2" s="1"/>
  <c r="C73" i="2" s="1"/>
  <c r="C65" i="2"/>
  <c r="C66" i="2"/>
  <c r="C67" i="2"/>
  <c r="C68" i="2"/>
  <c r="E68" i="2"/>
  <c r="C69" i="2"/>
  <c r="D69" i="2"/>
  <c r="D70" i="2" s="1"/>
  <c r="D73" i="2" s="1"/>
  <c r="D71" i="2"/>
  <c r="E69" i="2"/>
  <c r="E70" i="2" s="1"/>
  <c r="E73" i="2" s="1"/>
  <c r="C71" i="2"/>
  <c r="E71" i="2"/>
  <c r="C72" i="2"/>
  <c r="E72" i="2"/>
  <c r="C77" i="2"/>
  <c r="E77" i="2"/>
  <c r="C79" i="2"/>
  <c r="E79" i="2"/>
  <c r="C80" i="2"/>
  <c r="D80" i="2"/>
  <c r="E80" i="2"/>
  <c r="C81" i="2"/>
  <c r="D81" i="2"/>
  <c r="E81" i="2"/>
  <c r="C82" i="2"/>
  <c r="C85" i="2"/>
  <c r="C86" i="2"/>
  <c r="D88" i="2"/>
  <c r="E88" i="2"/>
  <c r="E89" i="2"/>
  <c r="E90" i="2"/>
  <c r="E91" i="2"/>
  <c r="E92" i="2"/>
  <c r="E93" i="2"/>
  <c r="E94" i="2"/>
  <c r="C89" i="2"/>
  <c r="D89" i="2"/>
  <c r="D90" i="2"/>
  <c r="D91" i="2"/>
  <c r="D92" i="2"/>
  <c r="D93" i="2"/>
  <c r="D94" i="2"/>
  <c r="D95" i="2"/>
  <c r="C90" i="2"/>
  <c r="C91" i="2"/>
  <c r="C92" i="2"/>
  <c r="C93" i="2"/>
  <c r="C94" i="2"/>
  <c r="E103" i="2"/>
  <c r="C105" i="2"/>
  <c r="E105" i="2"/>
  <c r="D107" i="2"/>
  <c r="F107" i="2"/>
  <c r="G107" i="2"/>
  <c r="E113" i="2"/>
  <c r="E115" i="2"/>
  <c r="E116" i="2"/>
  <c r="C117" i="2"/>
  <c r="E117" i="2"/>
  <c r="F120" i="2"/>
  <c r="G120" i="2"/>
  <c r="C122" i="2"/>
  <c r="E122" i="2"/>
  <c r="F126" i="2"/>
  <c r="D126" i="2"/>
  <c r="D136" i="2"/>
  <c r="E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 s="1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/>
  <c r="G490" i="1"/>
  <c r="H490" i="1"/>
  <c r="D153" i="2" s="1"/>
  <c r="G153" i="2" s="1"/>
  <c r="I490" i="1"/>
  <c r="E153" i="2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F493" i="1"/>
  <c r="K493" i="1" s="1"/>
  <c r="C156" i="2"/>
  <c r="D156" i="2"/>
  <c r="E156" i="2"/>
  <c r="F156" i="2"/>
  <c r="G493" i="1"/>
  <c r="H493" i="1"/>
  <c r="I493" i="1"/>
  <c r="J493" i="1"/>
  <c r="H19" i="1"/>
  <c r="I19" i="1"/>
  <c r="G610" i="1" s="1"/>
  <c r="J610" i="1" s="1"/>
  <c r="F33" i="1"/>
  <c r="G33" i="1"/>
  <c r="I33" i="1"/>
  <c r="G43" i="1"/>
  <c r="G613" i="1" s="1"/>
  <c r="J613" i="1" s="1"/>
  <c r="H43" i="1"/>
  <c r="I43" i="1"/>
  <c r="G615" i="1" s="1"/>
  <c r="J615" i="1" s="1"/>
  <c r="F169" i="1"/>
  <c r="F184" i="1" s="1"/>
  <c r="I169" i="1"/>
  <c r="F175" i="1"/>
  <c r="G175" i="1"/>
  <c r="H175" i="1"/>
  <c r="H184" i="1"/>
  <c r="I175" i="1"/>
  <c r="J175" i="1"/>
  <c r="J184" i="1" s="1"/>
  <c r="F180" i="1"/>
  <c r="G180" i="1"/>
  <c r="H180" i="1"/>
  <c r="I180" i="1"/>
  <c r="I184" i="1" s="1"/>
  <c r="K203" i="1"/>
  <c r="J221" i="1"/>
  <c r="F239" i="1"/>
  <c r="G239" i="1"/>
  <c r="F248" i="1"/>
  <c r="L248" i="1" s="1"/>
  <c r="G248" i="1"/>
  <c r="H248" i="1"/>
  <c r="I248" i="1"/>
  <c r="J248" i="1"/>
  <c r="K248" i="1"/>
  <c r="G282" i="1"/>
  <c r="H282" i="1"/>
  <c r="I282" i="1"/>
  <c r="G301" i="1"/>
  <c r="H301" i="1"/>
  <c r="G320" i="1"/>
  <c r="G330" i="1" s="1"/>
  <c r="G344" i="1" s="1"/>
  <c r="F329" i="1"/>
  <c r="G329" i="1"/>
  <c r="H329" i="1"/>
  <c r="L329" i="1" s="1"/>
  <c r="I329" i="1"/>
  <c r="J329" i="1"/>
  <c r="K329" i="1"/>
  <c r="K330" i="1"/>
  <c r="K344" i="1" s="1"/>
  <c r="F354" i="1"/>
  <c r="G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H385" i="1"/>
  <c r="I385" i="1"/>
  <c r="F393" i="1"/>
  <c r="G393" i="1"/>
  <c r="H393" i="1"/>
  <c r="I393" i="1"/>
  <c r="F399" i="1"/>
  <c r="G399" i="1"/>
  <c r="H399" i="1"/>
  <c r="I399" i="1"/>
  <c r="I400" i="1" s="1"/>
  <c r="L405" i="1"/>
  <c r="L406" i="1"/>
  <c r="L407" i="1"/>
  <c r="L411" i="1" s="1"/>
  <c r="L408" i="1"/>
  <c r="L409" i="1"/>
  <c r="L410" i="1"/>
  <c r="F411" i="1"/>
  <c r="G411" i="1"/>
  <c r="H411" i="1"/>
  <c r="I411" i="1"/>
  <c r="J411" i="1"/>
  <c r="L413" i="1"/>
  <c r="L414" i="1"/>
  <c r="L415" i="1"/>
  <c r="L419" i="1" s="1"/>
  <c r="L416" i="1"/>
  <c r="L417" i="1"/>
  <c r="L418" i="1"/>
  <c r="F419" i="1"/>
  <c r="G419" i="1"/>
  <c r="G426" i="1" s="1"/>
  <c r="H419" i="1"/>
  <c r="I419" i="1"/>
  <c r="J419" i="1"/>
  <c r="L421" i="1"/>
  <c r="L422" i="1"/>
  <c r="L423" i="1"/>
  <c r="L424" i="1"/>
  <c r="F425" i="1"/>
  <c r="G425" i="1"/>
  <c r="H425" i="1"/>
  <c r="H426" i="1" s="1"/>
  <c r="I425" i="1"/>
  <c r="J425" i="1"/>
  <c r="F426" i="1"/>
  <c r="I426" i="1"/>
  <c r="J426" i="1"/>
  <c r="F438" i="1"/>
  <c r="G629" i="1" s="1"/>
  <c r="G438" i="1"/>
  <c r="G630" i="1"/>
  <c r="H438" i="1"/>
  <c r="F444" i="1"/>
  <c r="G444" i="1"/>
  <c r="H444" i="1"/>
  <c r="H451" i="1" s="1"/>
  <c r="H631" i="1" s="1"/>
  <c r="F450" i="1"/>
  <c r="G450" i="1"/>
  <c r="G451" i="1"/>
  <c r="H630" i="1"/>
  <c r="J630" i="1" s="1"/>
  <c r="H450" i="1"/>
  <c r="F451" i="1"/>
  <c r="H629" i="1" s="1"/>
  <c r="F460" i="1"/>
  <c r="G460" i="1"/>
  <c r="H460" i="1"/>
  <c r="H466" i="1"/>
  <c r="H614" i="1" s="1"/>
  <c r="I460" i="1"/>
  <c r="I466" i="1"/>
  <c r="H615" i="1"/>
  <c r="J460" i="1"/>
  <c r="J466" i="1" s="1"/>
  <c r="H616" i="1" s="1"/>
  <c r="F464" i="1"/>
  <c r="F466" i="1"/>
  <c r="H612" i="1" s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G514" i="1"/>
  <c r="I514" i="1"/>
  <c r="I535" i="1" s="1"/>
  <c r="K514" i="1"/>
  <c r="F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48" i="1"/>
  <c r="L550" i="1" s="1"/>
  <c r="L549" i="1"/>
  <c r="F550" i="1"/>
  <c r="G550" i="1"/>
  <c r="H550" i="1"/>
  <c r="H561" i="1" s="1"/>
  <c r="I550" i="1"/>
  <c r="J550" i="1"/>
  <c r="J561" i="1"/>
  <c r="K550" i="1"/>
  <c r="L552" i="1"/>
  <c r="L553" i="1"/>
  <c r="L554" i="1"/>
  <c r="L555" i="1" s="1"/>
  <c r="F555" i="1"/>
  <c r="F561" i="1" s="1"/>
  <c r="G555" i="1"/>
  <c r="H555" i="1"/>
  <c r="I555" i="1"/>
  <c r="I561" i="1" s="1"/>
  <c r="J555" i="1"/>
  <c r="K555" i="1"/>
  <c r="K561" i="1" s="1"/>
  <c r="L557" i="1"/>
  <c r="L558" i="1"/>
  <c r="L559" i="1"/>
  <c r="F560" i="1"/>
  <c r="G560" i="1"/>
  <c r="G561" i="1" s="1"/>
  <c r="H560" i="1"/>
  <c r="I560" i="1"/>
  <c r="J560" i="1"/>
  <c r="K560" i="1"/>
  <c r="I565" i="1"/>
  <c r="I566" i="1"/>
  <c r="I567" i="1"/>
  <c r="I568" i="1"/>
  <c r="I570" i="1"/>
  <c r="I571" i="1"/>
  <c r="I573" i="1"/>
  <c r="I574" i="1"/>
  <c r="I575" i="1"/>
  <c r="I576" i="1"/>
  <c r="I577" i="1"/>
  <c r="K581" i="1"/>
  <c r="K582" i="1"/>
  <c r="K583" i="1"/>
  <c r="K586" i="1"/>
  <c r="K587" i="1"/>
  <c r="J588" i="1"/>
  <c r="H641" i="1"/>
  <c r="K592" i="1"/>
  <c r="K593" i="1"/>
  <c r="K595" i="1" s="1"/>
  <c r="G638" i="1" s="1"/>
  <c r="K594" i="1"/>
  <c r="H595" i="1"/>
  <c r="I595" i="1"/>
  <c r="J595" i="1"/>
  <c r="H604" i="1"/>
  <c r="J604" i="1"/>
  <c r="K604" i="1"/>
  <c r="G609" i="1"/>
  <c r="G614" i="1"/>
  <c r="J614" i="1" s="1"/>
  <c r="H617" i="1"/>
  <c r="H618" i="1"/>
  <c r="H619" i="1"/>
  <c r="H620" i="1"/>
  <c r="H621" i="1"/>
  <c r="H622" i="1"/>
  <c r="H623" i="1"/>
  <c r="H625" i="1"/>
  <c r="H626" i="1"/>
  <c r="H627" i="1"/>
  <c r="H628" i="1"/>
  <c r="G631" i="1"/>
  <c r="J631" i="1" s="1"/>
  <c r="G633" i="1"/>
  <c r="G634" i="1"/>
  <c r="G635" i="1"/>
  <c r="G640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D17" i="13"/>
  <c r="C17" i="13" s="1"/>
  <c r="G155" i="2"/>
  <c r="C83" i="2"/>
  <c r="J38" i="1"/>
  <c r="G37" i="2" s="1"/>
  <c r="G44" i="1"/>
  <c r="H608" i="1"/>
  <c r="C153" i="2"/>
  <c r="J640" i="1"/>
  <c r="I44" i="1"/>
  <c r="H610" i="1" s="1"/>
  <c r="I450" i="1"/>
  <c r="G466" i="1"/>
  <c r="H613" i="1" s="1"/>
  <c r="J10" i="1"/>
  <c r="I221" i="1"/>
  <c r="L192" i="1"/>
  <c r="C104" i="2" s="1"/>
  <c r="B36" i="12"/>
  <c r="E104" i="2"/>
  <c r="G31" i="13"/>
  <c r="F132" i="1"/>
  <c r="C54" i="2"/>
  <c r="F104" i="1"/>
  <c r="F44" i="1"/>
  <c r="H607" i="1" s="1"/>
  <c r="G10" i="2"/>
  <c r="B153" i="2"/>
  <c r="F31" i="13" l="1"/>
  <c r="J330" i="1"/>
  <c r="J344" i="1" s="1"/>
  <c r="K539" i="1"/>
  <c r="K535" i="1"/>
  <c r="C29" i="10"/>
  <c r="I185" i="1"/>
  <c r="G620" i="1" s="1"/>
  <c r="J620" i="1" s="1"/>
  <c r="G104" i="1"/>
  <c r="C35" i="10"/>
  <c r="D48" i="2"/>
  <c r="D55" i="2" s="1"/>
  <c r="D96" i="2" s="1"/>
  <c r="C110" i="2"/>
  <c r="C15" i="10"/>
  <c r="D6" i="13"/>
  <c r="C6" i="13" s="1"/>
  <c r="E42" i="2"/>
  <c r="E43" i="2" s="1"/>
  <c r="E95" i="2"/>
  <c r="C96" i="2"/>
  <c r="I203" i="1"/>
  <c r="L232" i="1"/>
  <c r="L215" i="1"/>
  <c r="J249" i="1"/>
  <c r="C20" i="10"/>
  <c r="C115" i="2"/>
  <c r="L301" i="1"/>
  <c r="E102" i="2"/>
  <c r="K541" i="1"/>
  <c r="A40" i="12"/>
  <c r="J635" i="1"/>
  <c r="E83" i="2"/>
  <c r="E96" i="2" s="1"/>
  <c r="J104" i="1"/>
  <c r="J185" i="1" s="1"/>
  <c r="G48" i="2"/>
  <c r="G55" i="2" s="1"/>
  <c r="G96" i="2" s="1"/>
  <c r="I239" i="1"/>
  <c r="L604" i="1"/>
  <c r="J612" i="1"/>
  <c r="H400" i="1"/>
  <c r="H634" i="1" s="1"/>
  <c r="J634" i="1" s="1"/>
  <c r="C95" i="2"/>
  <c r="H33" i="13"/>
  <c r="C25" i="13"/>
  <c r="D18" i="13"/>
  <c r="C18" i="13" s="1"/>
  <c r="C24" i="10"/>
  <c r="G641" i="1"/>
  <c r="J641" i="1" s="1"/>
  <c r="H652" i="1"/>
  <c r="F19" i="2"/>
  <c r="L274" i="1"/>
  <c r="E111" i="2" s="1"/>
  <c r="E120" i="2" s="1"/>
  <c r="I354" i="1"/>
  <c r="G624" i="1" s="1"/>
  <c r="J624" i="1" s="1"/>
  <c r="L350" i="1"/>
  <c r="L512" i="1"/>
  <c r="F540" i="1" s="1"/>
  <c r="H514" i="1"/>
  <c r="H535" i="1" s="1"/>
  <c r="G519" i="1"/>
  <c r="G535" i="1" s="1"/>
  <c r="L517" i="1"/>
  <c r="I572" i="1"/>
  <c r="F653" i="1"/>
  <c r="I653" i="1" s="1"/>
  <c r="H588" i="1"/>
  <c r="H639" i="1" s="1"/>
  <c r="K585" i="1"/>
  <c r="I438" i="1"/>
  <c r="G632" i="1" s="1"/>
  <c r="J632" i="1" s="1"/>
  <c r="B18" i="12"/>
  <c r="L190" i="1"/>
  <c r="D5" i="13" s="1"/>
  <c r="F203" i="1"/>
  <c r="K239" i="1"/>
  <c r="G6" i="13"/>
  <c r="L230" i="1"/>
  <c r="H249" i="1"/>
  <c r="H263" i="1" s="1"/>
  <c r="C112" i="2"/>
  <c r="E8" i="13"/>
  <c r="C17" i="10"/>
  <c r="D15" i="13"/>
  <c r="C15" i="13" s="1"/>
  <c r="C116" i="2"/>
  <c r="C21" i="10"/>
  <c r="F652" i="1"/>
  <c r="I652" i="1" s="1"/>
  <c r="H637" i="1"/>
  <c r="G639" i="1"/>
  <c r="J639" i="1" s="1"/>
  <c r="H239" i="1"/>
  <c r="F282" i="1"/>
  <c r="F535" i="1"/>
  <c r="G184" i="1"/>
  <c r="F83" i="2"/>
  <c r="F96" i="2" s="1"/>
  <c r="L400" i="1"/>
  <c r="C130" i="2"/>
  <c r="C133" i="2" s="1"/>
  <c r="C111" i="2"/>
  <c r="J607" i="1"/>
  <c r="G33" i="13"/>
  <c r="L560" i="1"/>
  <c r="L561" i="1" s="1"/>
  <c r="J629" i="1"/>
  <c r="L425" i="1"/>
  <c r="L426" i="1" s="1"/>
  <c r="G628" i="1" s="1"/>
  <c r="J628" i="1" s="1"/>
  <c r="G148" i="2"/>
  <c r="F42" i="2"/>
  <c r="F43" i="2" s="1"/>
  <c r="D19" i="2"/>
  <c r="J609" i="1"/>
  <c r="E13" i="13"/>
  <c r="C13" i="13" s="1"/>
  <c r="C114" i="2"/>
  <c r="C19" i="10"/>
  <c r="D77" i="2"/>
  <c r="D83" i="2" s="1"/>
  <c r="G161" i="1"/>
  <c r="C39" i="10" s="1"/>
  <c r="C38" i="10"/>
  <c r="E112" i="2"/>
  <c r="L231" i="1"/>
  <c r="F185" i="1"/>
  <c r="G617" i="1" s="1"/>
  <c r="J617" i="1" s="1"/>
  <c r="C13" i="10"/>
  <c r="K584" i="1"/>
  <c r="K588" i="1" s="1"/>
  <c r="G637" i="1" s="1"/>
  <c r="J637" i="1" s="1"/>
  <c r="K221" i="1"/>
  <c r="C18" i="12"/>
  <c r="F320" i="1"/>
  <c r="J9" i="1"/>
  <c r="I301" i="1"/>
  <c r="I330" i="1" s="1"/>
  <c r="I344" i="1" s="1"/>
  <c r="C9" i="2"/>
  <c r="C19" i="2" s="1"/>
  <c r="L312" i="1"/>
  <c r="L320" i="1" s="1"/>
  <c r="F604" i="1"/>
  <c r="J23" i="1"/>
  <c r="F221" i="1"/>
  <c r="G19" i="1"/>
  <c r="G608" i="1" s="1"/>
  <c r="J608" i="1" s="1"/>
  <c r="B156" i="2"/>
  <c r="G156" i="2" s="1"/>
  <c r="C38" i="2"/>
  <c r="C42" i="2" s="1"/>
  <c r="C43" i="2" s="1"/>
  <c r="L351" i="1"/>
  <c r="G651" i="1" s="1"/>
  <c r="F14" i="13"/>
  <c r="F33" i="13" s="1"/>
  <c r="L207" i="1"/>
  <c r="L221" i="1" s="1"/>
  <c r="G650" i="1" s="1"/>
  <c r="G654" i="1" s="1"/>
  <c r="C16" i="10"/>
  <c r="C25" i="10"/>
  <c r="F122" i="2"/>
  <c r="F136" i="2" s="1"/>
  <c r="F137" i="2" s="1"/>
  <c r="L524" i="1"/>
  <c r="L268" i="1"/>
  <c r="E22" i="2"/>
  <c r="E32" i="2" s="1"/>
  <c r="L227" i="1"/>
  <c r="D7" i="13"/>
  <c r="C7" i="13" s="1"/>
  <c r="C134" i="2"/>
  <c r="J43" i="1"/>
  <c r="C5" i="13" l="1"/>
  <c r="C12" i="10"/>
  <c r="C103" i="2"/>
  <c r="F249" i="1"/>
  <c r="F263" i="1" s="1"/>
  <c r="L282" i="1"/>
  <c r="E101" i="2"/>
  <c r="E107" i="2" s="1"/>
  <c r="E137" i="2" s="1"/>
  <c r="G22" i="2"/>
  <c r="G32" i="2" s="1"/>
  <c r="G43" i="2" s="1"/>
  <c r="J33" i="1"/>
  <c r="J44" i="1" s="1"/>
  <c r="H611" i="1" s="1"/>
  <c r="C102" i="2"/>
  <c r="C11" i="10"/>
  <c r="L203" i="1"/>
  <c r="A22" i="12"/>
  <c r="L354" i="1"/>
  <c r="H651" i="1"/>
  <c r="D29" i="13"/>
  <c r="C29" i="13" s="1"/>
  <c r="F651" i="1"/>
  <c r="I651" i="1" s="1"/>
  <c r="D119" i="2"/>
  <c r="D120" i="2" s="1"/>
  <c r="D137" i="2" s="1"/>
  <c r="L239" i="1"/>
  <c r="H650" i="1" s="1"/>
  <c r="C136" i="2"/>
  <c r="C101" i="2"/>
  <c r="C107" i="2" s="1"/>
  <c r="C10" i="10"/>
  <c r="G627" i="1"/>
  <c r="J627" i="1" s="1"/>
  <c r="H636" i="1"/>
  <c r="G662" i="1"/>
  <c r="C5" i="10" s="1"/>
  <c r="G657" i="1"/>
  <c r="G9" i="2"/>
  <c r="G19" i="2" s="1"/>
  <c r="J19" i="1"/>
  <c r="G611" i="1" s="1"/>
  <c r="E33" i="13"/>
  <c r="D35" i="13" s="1"/>
  <c r="C8" i="13"/>
  <c r="D14" i="13"/>
  <c r="C14" i="13" s="1"/>
  <c r="F542" i="1"/>
  <c r="L514" i="1"/>
  <c r="J263" i="1"/>
  <c r="H638" i="1"/>
  <c r="J638" i="1" s="1"/>
  <c r="G616" i="1"/>
  <c r="J616" i="1" s="1"/>
  <c r="G621" i="1"/>
  <c r="J621" i="1" s="1"/>
  <c r="G636" i="1"/>
  <c r="J636" i="1" s="1"/>
  <c r="C113" i="2"/>
  <c r="C120" i="2" s="1"/>
  <c r="D12" i="13"/>
  <c r="C12" i="13" s="1"/>
  <c r="C18" i="10"/>
  <c r="F330" i="1"/>
  <c r="F344" i="1" s="1"/>
  <c r="C36" i="10"/>
  <c r="C41" i="10"/>
  <c r="K249" i="1"/>
  <c r="K263" i="1" s="1"/>
  <c r="G540" i="1"/>
  <c r="G542" i="1" s="1"/>
  <c r="L519" i="1"/>
  <c r="I249" i="1"/>
  <c r="I263" i="1" s="1"/>
  <c r="G185" i="1"/>
  <c r="G618" i="1" s="1"/>
  <c r="J618" i="1" s="1"/>
  <c r="D40" i="10" l="1"/>
  <c r="D37" i="10"/>
  <c r="D35" i="10"/>
  <c r="D36" i="10"/>
  <c r="L535" i="1"/>
  <c r="G625" i="1"/>
  <c r="J625" i="1" s="1"/>
  <c r="C27" i="10"/>
  <c r="L330" i="1"/>
  <c r="L344" i="1" s="1"/>
  <c r="G623" i="1" s="1"/>
  <c r="J623" i="1" s="1"/>
  <c r="D31" i="13"/>
  <c r="C31" i="13" s="1"/>
  <c r="J611" i="1"/>
  <c r="C137" i="2"/>
  <c r="K540" i="1"/>
  <c r="K542" i="1" s="1"/>
  <c r="L249" i="1"/>
  <c r="L263" i="1" s="1"/>
  <c r="G622" i="1" s="1"/>
  <c r="J622" i="1" s="1"/>
  <c r="F650" i="1"/>
  <c r="D38" i="10"/>
  <c r="H654" i="1"/>
  <c r="D39" i="10"/>
  <c r="H662" i="1" l="1"/>
  <c r="C6" i="10" s="1"/>
  <c r="H657" i="1"/>
  <c r="D33" i="13"/>
  <c r="D36" i="13" s="1"/>
  <c r="F654" i="1"/>
  <c r="I650" i="1"/>
  <c r="I654" i="1" s="1"/>
  <c r="D41" i="10"/>
  <c r="C28" i="10"/>
  <c r="H646" i="1"/>
  <c r="C30" i="10" l="1"/>
  <c r="D22" i="10"/>
  <c r="D26" i="10"/>
  <c r="D23" i="10"/>
  <c r="D25" i="10"/>
  <c r="D16" i="10"/>
  <c r="D13" i="10"/>
  <c r="D21" i="10"/>
  <c r="D17" i="10"/>
  <c r="D24" i="10"/>
  <c r="D20" i="10"/>
  <c r="D15" i="10"/>
  <c r="D19" i="10"/>
  <c r="D12" i="10"/>
  <c r="D11" i="10"/>
  <c r="D18" i="10"/>
  <c r="D10" i="10"/>
  <c r="F657" i="1"/>
  <c r="F662" i="1"/>
  <c r="C4" i="10" s="1"/>
  <c r="D27" i="10"/>
  <c r="I657" i="1"/>
  <c r="I662" i="1"/>
  <c r="C7" i="10" s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76E9C72-AC25-4476-8DE4-A6E67CC180D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342A077-AB5F-4C14-8802-935D06C2E1F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EF2085A-FD04-445D-B7F7-7F4D647B09F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6ED997A-9838-4D20-B511-AEF5DD514D6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C39DC3F-D7AC-4635-8308-114B09EF331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E186A5B-EA13-4BCB-A047-CF765DC6447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F5518CB-D4D5-4C50-811A-AFE2A00680F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7DE5746-DD55-4FE4-8423-8E6F4FBB27D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047BE94-484F-415A-9728-83612455237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3324E57-858E-4750-86C4-29216062302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7ADB48F-4B12-4291-944B-F77A717C52C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A2A8303-E6F8-4A9A-983A-9C8BB259E93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<sst xmlns="http://schemas.openxmlformats.org/spreadsheetml/2006/main" count="3862" uniqueCount="899">
  <si>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</si>
  <si>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</si>
  <si>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</si>
  <si>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</si>
  <si>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</si>
  <si>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</si>
  <si>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</si>
  <si>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</si>
  <si>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</si>
  <si>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</si>
  <si>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</si>
  <si>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</si>
  <si>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</si>
  <si>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</si>
  <si>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</si>
  <si>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</si>
  <si>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</si>
  <si>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</si>
  <si>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</si>
  <si>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</si>
  <si>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</si>
  <si>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</si>
  <si>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</si>
  <si>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</si>
  <si>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</si>
  <si>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</si>
  <si>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</si>
  <si>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</si>
  <si>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</si>
  <si>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</si>
  <si>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</si>
  <si>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</si>
  <si>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</si>
  <si>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</si>
  <si>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</si>
  <si>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</si>
  <si>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</si>
  <si>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</si>
  <si>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</si>
  <si>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</si>
  <si>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</si>
  <si>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</si>
  <si>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</si>
  <si>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</si>
  <si>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</si>
  <si>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</si>
  <si>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</si>
  <si>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</si>
  <si>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</si>
  <si>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</si>
  <si>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</si>
  <si>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</si>
  <si>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</si>
  <si>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</si>
  <si>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</si>
  <si>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</si>
  <si>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</si>
  <si>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</si>
  <si>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</si>
  <si>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</si>
  <si>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</si>
  <si>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</si>
  <si>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</si>
  <si>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</si>
  <si>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</si>
  <si>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</si>
  <si>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</si>
  <si>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</si>
  <si>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</si>
  <si>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</si>
  <si>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</si>
  <si>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</si>
  <si>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</si>
  <si>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</si>
  <si>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</si>
  <si>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</si>
  <si>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</si>
  <si>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</si>
  <si>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</si>
  <si>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</si>
  <si>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</si>
  <si>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</si>
  <si>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</si>
  <si>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</si>
  <si>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</si>
  <si>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</si>
  <si>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</si>
  <si>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</si>
  <si>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</si>
  <si>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</si>
  <si>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</si>
  <si>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</si>
  <si>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</si>
  <si>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</si>
  <si>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</si>
  <si>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</si>
  <si>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</si>
  <si>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</si>
  <si>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</si>
  <si>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</si>
  <si>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</si>
  <si>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</si>
  <si>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</si>
  <si>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</si>
  <si>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</si>
  <si>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</si>
  <si>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</si>
  <si>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</si>
  <si>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</si>
  <si>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</si>
  <si>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</si>
  <si>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</si>
  <si>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</si>
  <si>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</si>
  <si>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</si>
  <si>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</si>
  <si>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</si>
  <si>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</si>
  <si>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</si>
  <si>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</si>
  <si>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</si>
  <si>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</si>
  <si>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</si>
  <si>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</si>
  <si>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</si>
  <si>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</si>
  <si>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</si>
  <si>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</si>
  <si>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</si>
  <si>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</si>
  <si>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</si>
  <si>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</si>
  <si>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</si>
  <si>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</si>
  <si>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</si>
  <si>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</si>
  <si>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</si>
  <si>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</si>
  <si>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</si>
  <si>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</si>
  <si>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</si>
  <si>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</si>
  <si>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</si>
  <si>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</si>
  <si>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</si>
  <si>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</si>
  <si>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</si>
  <si>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</si>
  <si>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</si>
  <si>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</si>
  <si>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</si>
  <si>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</si>
  <si>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</si>
  <si>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</si>
  <si>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</si>
  <si>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</si>
  <si>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</si>
  <si>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</si>
  <si>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</si>
  <si>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</si>
  <si>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</si>
  <si>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</si>
  <si>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</si>
  <si>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</si>
  <si>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</si>
  <si>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</si>
  <si>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</si>
  <si>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</si>
  <si>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</si>
  <si>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</si>
  <si>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</si>
  <si>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</si>
  <si>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</si>
  <si>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</si>
  <si>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</si>
  <si>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</si>
  <si>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</si>
  <si>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</si>
  <si>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</si>
  <si>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</si>
  <si>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</si>
  <si>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</si>
  <si>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</si>
  <si>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</si>
  <si>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</si>
  <si>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</si>
  <si>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</si>
  <si>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</si>
  <si>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</si>
  <si>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</si>
  <si>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</si>
  <si>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</si>
  <si>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</si>
  <si>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</si>
  <si>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</si>
  <si>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</si>
  <si>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</si>
  <si>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</si>
  <si>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</si>
  <si>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</si>
  <si>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</si>
  <si>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</si>
  <si>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</si>
  <si>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</si>
  <si>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</si>
  <si>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</si>
  <si>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</si>
  <si>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</si>
  <si>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</si>
  <si>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</si>
  <si>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</si>
  <si>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</si>
  <si>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</si>
  <si>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</si>
  <si>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</si>
  <si>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</si>
  <si>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</si>
  <si>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</si>
  <si>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</si>
  <si>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</si>
  <si>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</si>
  <si>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</si>
  <si>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</si>
  <si>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</si>
  <si>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</si>
  <si>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</si>
  <si>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</si>
  <si>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</si>
  <si>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</si>
  <si>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</si>
  <si>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</si>
  <si>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</si>
  <si>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</si>
  <si>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</si>
  <si>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</si>
  <si>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</si>
  <si>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</si>
  <si>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</si>
  <si>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</si>
  <si>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</si>
  <si>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</si>
  <si>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</si>
  <si>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</si>
  <si>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</si>
  <si>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</si>
  <si>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</si>
  <si>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</si>
  <si>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</si>
  <si>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</si>
  <si>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</si>
  <si>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</si>
  <si>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</si>
  <si>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</si>
  <si>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</si>
  <si>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</si>
  <si>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</si>
  <si>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</si>
  <si>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</si>
  <si>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</si>
  <si>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</si>
  <si>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</si>
  <si>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</si>
  <si>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</si>
  <si>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</si>
  <si>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</si>
  <si>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</si>
  <si>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</si>
  <si>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</si>
  <si>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</si>
  <si>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</si>
  <si>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</si>
  <si>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</si>
  <si>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</si>
  <si>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</si>
  <si>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</si>
  <si>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</si>
  <si>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</si>
  <si>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</si>
  <si>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</si>
  <si>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</si>
  <si>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</si>
  <si>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</si>
  <si>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</si>
  <si>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</si>
  <si>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</si>
  <si>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</si>
  <si>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</si>
  <si>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</si>
  <si>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</si>
  <si>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</si>
  <si>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</si>
  <si>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</si>
  <si>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</si>
  <si>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</si>
  <si>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</si>
  <si>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</si>
  <si>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</si>
  <si>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</si>
  <si>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</si>
  <si>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</si>
  <si>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</si>
  <si>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</si>
  <si>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</si>
  <si>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</si>
  <si>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</si>
  <si>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</si>
  <si>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</si>
  <si>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</si>
  <si>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</si>
  <si>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</si>
  <si>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</si>
  <si>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</si>
  <si>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</si>
  <si>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</si>
  <si>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</si>
  <si>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</si>
  <si>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</si>
  <si>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</si>
  <si>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</si>
  <si>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</si>
  <si>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</si>
  <si>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</si>
  <si>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</si>
  <si>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</si>
  <si>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</si>
  <si>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</si>
  <si>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</si>
  <si>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</si>
  <si>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</si>
  <si>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</si>
  <si>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</si>
  <si>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</si>
  <si>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</si>
  <si>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</si>
  <si>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</si>
  <si>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</si>
  <si>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</si>
  <si>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</si>
  <si>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</si>
  <si>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</si>
  <si>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</si>
  <si>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</si>
  <si>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</si>
  <si>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</si>
  <si>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</si>
  <si>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</si>
  <si>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</si>
  <si>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</si>
  <si>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</si>
  <si>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</si>
  <si>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</si>
  <si>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</si>
  <si>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</si>
  <si>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</si>
  <si>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</si>
  <si>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</si>
  <si>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</si>
  <si>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</si>
  <si>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</si>
  <si>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</si>
  <si>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</si>
  <si>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</si>
  <si>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</si>
  <si>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</si>
  <si>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</si>
  <si>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</si>
  <si>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</si>
  <si>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</si>
  <si>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</si>
  <si>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</si>
  <si>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</si>
  <si>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</si>
  <si>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</si>
  <si>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</si>
  <si>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</si>
  <si>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</si>
  <si>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</si>
  <si>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</si>
  <si>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</si>
  <si>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</si>
  <si>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</si>
  <si>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</si>
  <si>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</si>
  <si>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</si>
  <si>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</si>
  <si>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</si>
  <si>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</si>
  <si>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</si>
  <si>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</si>
  <si>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</si>
  <si>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</si>
  <si>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</si>
  <si>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</si>
  <si>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</si>
  <si>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</si>
  <si>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</si>
  <si>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</si>
  <si>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</si>
  <si>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</si>
  <si>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</si>
  <si>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</si>
  <si>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</si>
  <si>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</si>
  <si>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</si>
  <si>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</si>
  <si>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</si>
  <si>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</si>
  <si>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</si>
  <si>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</si>
  <si>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</si>
  <si>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</si>
  <si>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</si>
  <si>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</si>
  <si>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</si>
  <si>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</si>
  <si>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</si>
  <si>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</si>
  <si>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</si>
  <si>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</si>
  <si>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</si>
  <si>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</si>
  <si>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</si>
  <si>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</si>
  <si>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</si>
  <si>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</si>
  <si>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</si>
  <si>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</si>
  <si>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</si>
  <si>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</si>
  <si>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</si>
  <si>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</si>
  <si>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</si>
  <si>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</si>
  <si>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</si>
  <si>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</si>
  <si>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</si>
  <si>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</si>
  <si>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</si>
  <si>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</si>
  <si>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</si>
  <si>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</si>
  <si>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</si>
  <si>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</si>
  <si>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</si>
  <si>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</si>
  <si>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</si>
  <si>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</si>
  <si>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</si>
  <si>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</si>
  <si>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</si>
  <si>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</si>
  <si>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</si>
  <si>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</si>
  <si>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</si>
  <si>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</si>
  <si>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</si>
  <si>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</si>
  <si>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</si>
  <si>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</si>
  <si>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</si>
  <si>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</si>
  <si>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</si>
  <si>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</si>
  <si>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</si>
  <si>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</si>
  <si>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</si>
  <si>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</si>
  <si>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</si>
  <si>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</si>
  <si>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</si>
  <si>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</si>
  <si>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</si>
  <si>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</si>
  <si>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</si>
  <si>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</si>
  <si>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</si>
  <si>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</si>
  <si>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</si>
  <si>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</si>
  <si>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</si>
  <si>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</si>
  <si>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</si>
  <si>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</si>
  <si>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</si>
  <si>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</si>
  <si>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</si>
  <si>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</si>
  <si>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</si>
  <si>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</si>
  <si>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</si>
  <si>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</si>
  <si>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</si>
  <si>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</si>
  <si>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</si>
  <si>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</si>
  <si>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</si>
  <si>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</si>
  <si>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</si>
  <si>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</si>
  <si>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</si>
  <si>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</si>
  <si>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</si>
  <si>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</si>
  <si>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</si>
  <si>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</si>
  <si>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</si>
  <si>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</si>
  <si>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</si>
  <si>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</si>
  <si>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</si>
  <si>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</si>
  <si>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</si>
  <si>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</si>
  <si>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</si>
  <si>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</si>
  <si>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</si>
  <si>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</si>
  <si>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</si>
  <si>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</si>
  <si>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</si>
  <si>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</si>
  <si>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</si>
  <si>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</si>
  <si>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</si>
  <si>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</si>
  <si>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</si>
  <si>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</si>
  <si>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</si>
  <si>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</si>
  <si>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</si>
  <si>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</si>
  <si>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</si>
  <si>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</si>
  <si>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</si>
  <si>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</si>
  <si>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</si>
  <si>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</si>
  <si>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</si>
  <si>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</si>
  <si>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</si>
  <si>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</si>
  <si>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</si>
  <si>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</si>
  <si>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</si>
  <si>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</si>
  <si>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</si>
  <si>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</si>
  <si>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</si>
  <si>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</si>
  <si>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</si>
  <si>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</si>
  <si>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</si>
  <si>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</si>
  <si>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</si>
  <si>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</si>
  <si>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</si>
  <si>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</si>
  <si>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</si>
  <si>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</si>
  <si>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</si>
  <si>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</si>
  <si>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</si>
  <si>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</si>
  <si>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</si>
  <si>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</si>
  <si>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</si>
  <si>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</si>
  <si>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</si>
  <si>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</si>
  <si>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</si>
  <si>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</si>
  <si>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</si>
  <si>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</si>
  <si>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</si>
  <si>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</si>
  <si>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</si>
  <si>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</si>
  <si>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</si>
  <si>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</si>
  <si>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</si>
  <si>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</si>
  <si>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</si>
  <si>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</si>
  <si>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</si>
  <si>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</si>
  <si>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</si>
  <si>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</si>
  <si>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</si>
  <si>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</si>
  <si>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</si>
  <si>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</si>
  <si>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</si>
  <si>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</si>
  <si>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</si>
  <si>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</si>
  <si>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</si>
  <si>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</si>
  <si>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</si>
  <si>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</si>
  <si>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</si>
  <si>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</si>
  <si>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</si>
  <si>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</si>
  <si>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</si>
  <si>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</si>
  <si>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</si>
  <si>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</si>
  <si>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</si>
  <si>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</si>
  <si>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</si>
  <si>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</si>
  <si>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</si>
  <si>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</si>
  <si>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</si>
  <si>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</si>
  <si>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</si>
  <si>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</si>
  <si>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</si>
  <si>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</si>
  <si>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</si>
  <si>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</si>
  <si>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</si>
  <si>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</si>
  <si>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</si>
  <si>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</si>
  <si>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</si>
  <si>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</si>
  <si>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</si>
  <si>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</si>
  <si>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</si>
  <si>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</si>
  <si>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</si>
  <si>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</si>
  <si>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</si>
  <si>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</si>
  <si>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</si>
  <si>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</si>
  <si>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</si>
  <si>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</si>
  <si>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</si>
  <si>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</si>
  <si>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</si>
  <si>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</si>
  <si>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</si>
  <si>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</si>
  <si>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</si>
  <si>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</si>
  <si>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</si>
  <si>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</si>
  <si>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</si>
  <si>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</si>
  <si>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</si>
  <si>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</si>
  <si>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</si>
  <si>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</si>
  <si>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</si>
  <si>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</si>
  <si>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</si>
  <si>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</si>
  <si>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</si>
  <si>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</si>
  <si>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</si>
  <si>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</si>
  <si>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</si>
  <si>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</si>
  <si>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</si>
  <si>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</si>
  <si>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</si>
  <si>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</si>
  <si>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</si>
  <si>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</si>
  <si>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</si>
  <si>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</si>
  <si>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</si>
  <si>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</si>
  <si>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</si>
  <si>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</si>
  <si>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</si>
  <si>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</si>
  <si>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</si>
  <si>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</si>
  <si>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</si>
  <si>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</si>
  <si>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</si>
  <si>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</si>
  <si>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</si>
  <si>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</si>
  <si>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</si>
  <si>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</si>
  <si>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</si>
  <si>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</si>
  <si>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</si>
  <si>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</si>
  <si>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</si>
  <si>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</si>
  <si>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</si>
  <si>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</si>
  <si>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</si>
  <si>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</si>
  <si>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</si>
  <si>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</si>
  <si>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</si>
  <si>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</si>
  <si>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</si>
  <si>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</si>
  <si>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</si>
  <si>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</si>
  <si>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</si>
  <si>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</si>
  <si>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</si>
  <si>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</si>
  <si>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</si>
  <si>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</si>
  <si>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</si>
  <si>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</si>
  <si>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</si>
  <si>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</si>
  <si>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</si>
  <si>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</si>
  <si>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</si>
  <si>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</si>
  <si>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</si>
  <si>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</si>
  <si>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</si>
  <si>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</si>
  <si>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</si>
  <si>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</si>
  <si>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</si>
  <si>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</si>
  <si>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</si>
  <si>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</si>
  <si>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</si>
  <si>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</si>
  <si>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</si>
  <si>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</si>
  <si>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</si>
  <si>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</si>
  <si>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</si>
  <si>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</si>
  <si>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</si>
  <si>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</si>
  <si>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</si>
  <si>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</si>
  <si>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</si>
  <si>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</si>
  <si>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</si>
  <si>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</si>
  <si>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</si>
  <si>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</si>
  <si>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</si>
  <si>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</si>
  <si>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</si>
  <si>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</si>
  <si>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</si>
  <si>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</si>
  <si>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</si>
  <si>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</si>
  <si>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</si>
  <si>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</si>
  <si>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</si>
  <si>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</si>
  <si>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</si>
  <si>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</si>
  <si>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</si>
  <si>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</si>
  <si>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</si>
  <si>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</si>
  <si>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</si>
  <si>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</si>
  <si>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</si>
  <si>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</si>
  <si>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</si>
  <si>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</si>
  <si>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</si>
  <si>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</si>
  <si>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</si>
  <si>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</si>
  <si>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</si>
  <si>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</si>
  <si>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</si>
  <si>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</si>
  <si>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</si>
  <si>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</si>
  <si>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</si>
  <si>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</si>
  <si>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</si>
  <si>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</si>
  <si>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</si>
  <si>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</si>
  <si>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</si>
  <si>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</si>
  <si>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</si>
  <si>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</si>
  <si>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</si>
  <si>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</si>
  <si>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</si>
  <si>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</si>
  <si>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</si>
  <si>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</si>
  <si>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</si>
  <si>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</si>
  <si>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</si>
  <si>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</si>
  <si>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</si>
  <si>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</si>
  <si>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</si>
  <si>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</si>
  <si>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</si>
  <si>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</si>
  <si>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</si>
  <si>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</si>
  <si>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</si>
  <si>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</si>
  <si>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</si>
  <si>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</si>
  <si>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</si>
  <si>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</si>
  <si>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</si>
  <si>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</si>
  <si>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</si>
  <si>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</si>
  <si>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</si>
  <si>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</si>
  <si>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</si>
  <si>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</si>
  <si>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</si>
  <si>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</si>
  <si>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</si>
  <si>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</si>
  <si>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</si>
  <si>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</si>
  <si>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</si>
  <si>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</si>
  <si>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</si>
  <si>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</si>
  <si>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</si>
  <si>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</si>
  <si>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</si>
  <si>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</si>
  <si>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</si>
  <si>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</si>
  <si>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</si>
  <si>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</si>
  <si>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</si>
  <si>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</si>
  <si>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</si>
  <si>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</si>
  <si>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</si>
  <si>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</si>
  <si>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</si>
  <si>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</si>
  <si>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</si>
  <si>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</si>
  <si>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</si>
  <si>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</si>
  <si>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</si>
  <si>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</si>
  <si>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</si>
  <si>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</si>
  <si>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</si>
  <si>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</si>
  <si>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</si>
  <si>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</si>
  <si>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</si>
  <si>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</si>
  <si>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</si>
  <si>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</si>
  <si>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</si>
  <si>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</si>
  <si>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</si>
  <si>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</si>
  <si>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</si>
  <si>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</si>
  <si>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</si>
  <si>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</si>
  <si>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</si>
  <si>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</si>
  <si>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</si>
  <si>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</si>
  <si>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</si>
  <si>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</si>
  <si>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</si>
  <si>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</si>
  <si>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</si>
  <si>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</si>
  <si>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</si>
  <si>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</si>
  <si>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</si>
  <si>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</si>
  <si>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</si>
  <si>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</si>
  <si>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</si>
  <si>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</si>
  <si>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</si>
  <si>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06/10</t>
  </si>
  <si>
    <t>06/15</t>
  </si>
  <si>
    <t xml:space="preserve">$51,500.00 sent to North Country Charter School for tuition.  </t>
  </si>
  <si>
    <t>Revenue Line 4200 - Special Revenue from North Country Health Consortium Youth Leadership Grant</t>
  </si>
  <si>
    <t>Lincoln-Woodstock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</si>
</sst>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F24E-EB71-4C75-BC5D-A802A3D31F3B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305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653520.88+4498.12</f>
        <v>658019</v>
      </c>
      <c r="G9" s="18"/>
      <c r="H9" s="18"/>
      <c r="I9" s="18">
        <f>497504.77</f>
        <v>497504.77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275661.17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121161.24+18500-18519.47-16901.73</f>
        <v>104240.04</v>
      </c>
      <c r="G12" s="18">
        <v>9675.64</v>
      </c>
      <c r="H12" s="18">
        <f>201.57+2920.43+10067.08-140+575.04+9608.95+676+2330.82</f>
        <v>26239.89</v>
      </c>
      <c r="I12" s="18">
        <v>2500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f>3587.98</f>
        <v>3587.98</v>
      </c>
      <c r="H13" s="18">
        <f>4552.31+6108.1-469.86+140-0.02+14140.67+47489.86</f>
        <v>71961.06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12027.09</f>
        <v>12027.09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774286.13</v>
      </c>
      <c r="G19" s="41">
        <f>SUM(G9:G18)</f>
        <v>13263.619999999999</v>
      </c>
      <c r="H19" s="41">
        <f>SUM(H9:H18)</f>
        <v>98200.95</v>
      </c>
      <c r="I19" s="41">
        <f>SUM(I9:I18)</f>
        <v>500004.77</v>
      </c>
      <c r="J19" s="41">
        <f>SUM(J9:J18)</f>
        <v>275661.17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66104.37</v>
      </c>
      <c r="G23" s="18"/>
      <c r="H23" s="18">
        <f>263.74+9028.53+9597.22+575.02+8450+47489.96+14140.67</f>
        <v>89545.14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19914.75+1998.12</f>
        <v>21912.87</v>
      </c>
      <c r="G25" s="18">
        <v>4219.95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>
        <v>500000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221778.31+16966.07+16611.17-9874.4-2126.12-1215</f>
        <v>242140.03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330157.27</v>
      </c>
      <c r="G33" s="41">
        <f>SUM(G23:G32)</f>
        <v>4219.95</v>
      </c>
      <c r="H33" s="41">
        <f>SUM(H23:H32)</f>
        <v>89545.14</v>
      </c>
      <c r="I33" s="41">
        <f>SUM(I23:I32)</f>
        <v>500000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23486.42</f>
        <v>23486.42</v>
      </c>
      <c r="G37" s="18"/>
      <c r="H37" s="18">
        <f>189.95</f>
        <v>189.95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f>100000+150000</f>
        <v>250000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5483.33+3560.34</f>
        <v>9043.67</v>
      </c>
      <c r="H41" s="18">
        <f>3592.84+1158.95+676+3038.07</f>
        <v>8465.86</v>
      </c>
      <c r="I41" s="18">
        <v>4.7699999999999996</v>
      </c>
      <c r="J41" s="13">
        <f>SUM(I449)</f>
        <v>275661.17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115716.82-6849.45+211775.07-150000</f>
        <v>170642.44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444128.86</v>
      </c>
      <c r="G43" s="41">
        <f>SUM(G35:G42)</f>
        <v>9043.67</v>
      </c>
      <c r="H43" s="41">
        <f>SUM(H35:H42)</f>
        <v>8655.8100000000013</v>
      </c>
      <c r="I43" s="41">
        <f>SUM(I35:I42)</f>
        <v>4.7699999999999996</v>
      </c>
      <c r="J43" s="41">
        <f>SUM(J35:J42)</f>
        <v>275661.17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774286.13</v>
      </c>
      <c r="G44" s="41">
        <f>G43+G33</f>
        <v>13263.619999999999</v>
      </c>
      <c r="H44" s="41">
        <f>H43+H33</f>
        <v>98200.95</v>
      </c>
      <c r="I44" s="41">
        <f>I43+I33</f>
        <v>500004.77</v>
      </c>
      <c r="J44" s="41">
        <f>J43+J33</f>
        <v>275661.17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2747121+357021</f>
        <v>3104142</v>
      </c>
      <c r="G49" s="18"/>
      <c r="H49" s="18"/>
      <c r="I49" s="18"/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3104142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2127.64</v>
      </c>
      <c r="G88" s="18"/>
      <c r="H88" s="18"/>
      <c r="I88" s="18">
        <v>4.7699999999999996</v>
      </c>
      <c r="J88" s="18">
        <v>547.26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13801.59+32238.05+15000.8+9515.35+12369.15+1250</f>
        <v>84174.94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649.75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140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1859.3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63.68+15025.03+903.39</f>
        <v>15992.1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20768.79</v>
      </c>
      <c r="G103" s="41">
        <f>SUM(G88:G102)</f>
        <v>84174.94</v>
      </c>
      <c r="H103" s="41">
        <f>SUM(H88:H102)</f>
        <v>0</v>
      </c>
      <c r="I103" s="41">
        <f>SUM(I88:I102)</f>
        <v>4.7699999999999996</v>
      </c>
      <c r="J103" s="41">
        <f>SUM(J88:J102)</f>
        <v>547.26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3124910.79</v>
      </c>
      <c r="G104" s="41">
        <f>G52+G103</f>
        <v>84174.94</v>
      </c>
      <c r="H104" s="41">
        <f>H52+H71+H86+H103</f>
        <v>0</v>
      </c>
      <c r="I104" s="41">
        <f>I52+I103</f>
        <v>4.7699999999999996</v>
      </c>
      <c r="J104" s="41">
        <f>J52+J103</f>
        <v>547.26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258023.76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f>2747428-357021</f>
        <v>2390407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98997.24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2747428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17288.03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7201.28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1535.53</f>
        <v>1535.53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2100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26589.309999999998</v>
      </c>
      <c r="G128" s="41">
        <f>SUM(G115:G127)</f>
        <v>1535.53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2774017.31</v>
      </c>
      <c r="G132" s="41">
        <f>G113+SUM(G128:G129)</f>
        <v>1535.53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>
        <f>10000</f>
        <v>10000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10000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78208.1+21928.65+14140.67</f>
        <v>114277.42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28108.87+31784.53+1495.47+15806.97</f>
        <v>77195.839999999997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4220.89+8327.58+59846.54</f>
        <v>72395.010000000009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1003.67+80930.14+51715.76</f>
        <v>133649.57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56757.37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56757.37</v>
      </c>
      <c r="G154" s="41">
        <f>SUM(G142:G153)</f>
        <v>72395.010000000009</v>
      </c>
      <c r="H154" s="41">
        <f>SUM(H142:H153)</f>
        <v>325122.83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71134.06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127891.43</v>
      </c>
      <c r="G161" s="41">
        <f>G139+G154+SUM(G155:G160)</f>
        <v>72395.010000000009</v>
      </c>
      <c r="H161" s="41">
        <f>H139+H154+SUM(H155:H160)</f>
        <v>335122.83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f>13586.71</f>
        <v>13586.71</v>
      </c>
      <c r="H171" s="18"/>
      <c r="I171" s="18"/>
      <c r="J171" s="18">
        <f>52158.9+90000</f>
        <v>142158.9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13586.71</v>
      </c>
      <c r="H175" s="41">
        <f>SUM(H171:H174)</f>
        <v>0</v>
      </c>
      <c r="I175" s="41">
        <f>SUM(I171:I174)</f>
        <v>0</v>
      </c>
      <c r="J175" s="41">
        <f>SUM(J171:J174)</f>
        <v>142158.9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13586.71</v>
      </c>
      <c r="H184" s="41">
        <f>+H175+SUM(H180:H183)</f>
        <v>0</v>
      </c>
      <c r="I184" s="41">
        <f>I169+I175+SUM(I180:I183)</f>
        <v>0</v>
      </c>
      <c r="J184" s="41">
        <f>J175</f>
        <v>142158.9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6026819.5299999993</v>
      </c>
      <c r="G185" s="47">
        <f>G104+G132+G161+G184</f>
        <v>171692.19</v>
      </c>
      <c r="H185" s="47">
        <f>H104+H132+H161+H184</f>
        <v>335122.83</v>
      </c>
      <c r="I185" s="47">
        <f>I104+I132+I161+I184</f>
        <v>4.7699999999999996</v>
      </c>
      <c r="J185" s="47">
        <f>J104+J132+J184</f>
        <v>142706.16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762405.3+19600</f>
        <v>782005.3</v>
      </c>
      <c r="G189" s="18">
        <f>196267.53+4323.36+576+290.99+60123.07+36.64+62705.61+1641.45+4452.25</f>
        <v>330416.90000000002</v>
      </c>
      <c r="H189" s="18">
        <f>4410.42+3897.21+4744.65+75+7.92+149.04</f>
        <v>13284.240000000002</v>
      </c>
      <c r="I189" s="18">
        <f>16899.01+5718.61+15608.53+757.92+3479.6+299+262.44</f>
        <v>43025.11</v>
      </c>
      <c r="J189" s="18">
        <f>8041.2+4366.62+647+3289.97</f>
        <v>16344.789999999999</v>
      </c>
      <c r="K189" s="18">
        <f>765</f>
        <v>765</v>
      </c>
      <c r="L189" s="19">
        <f>SUM(F189:K189)</f>
        <v>1185841.3400000003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164584.12+6645.5+5128</f>
        <v>176357.62</v>
      </c>
      <c r="G190" s="18">
        <f>50264.72+989.44+76.8+12192.35+3839.65+8935.98+354.35+961.13+382.09+186.87+220.5+11.04+29.95</f>
        <v>78444.87</v>
      </c>
      <c r="H190" s="18">
        <f>5984.8+2220.59+37.08+47445.84+7940+283+340.5</f>
        <v>64251.81</v>
      </c>
      <c r="I190" s="18">
        <f>937.09+208.7+878.85+166.8</f>
        <v>2191.44</v>
      </c>
      <c r="J190" s="18">
        <f>2974.01+22.95</f>
        <v>2996.96</v>
      </c>
      <c r="K190" s="18">
        <f>393.95+270</f>
        <v>663.95</v>
      </c>
      <c r="L190" s="19">
        <f>SUM(F190:K190)</f>
        <v>324906.65000000002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889+4200</f>
        <v>5089</v>
      </c>
      <c r="G192" s="18">
        <f>66.41+66.59+920.6+569.25</f>
        <v>1622.85</v>
      </c>
      <c r="H192" s="18"/>
      <c r="I192" s="18">
        <f>168</f>
        <v>168</v>
      </c>
      <c r="J192" s="18"/>
      <c r="K192" s="18"/>
      <c r="L192" s="19">
        <f>SUM(F192:K192)</f>
        <v>6879.85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41234+14277.78+13906.64+20501.26+1425</f>
        <v>91344.68</v>
      </c>
      <c r="G194" s="18">
        <f>12967.02+38.4+2982.35+3088.48+88.78+240.8+4861.2+123.94+1023.43+1069.39+30.74+83.38+2017.18+102.96+16.92+1037.29+1041.57+29.94+81.21+5675.69+289.44+1484.45+1877.93+44.14+119.72+109.02+130.53</f>
        <v>40655.899999999994</v>
      </c>
      <c r="H194" s="18">
        <f>775+377.46+2100+114.45+1175.9+23421.66+1087.5+59972.5+300</f>
        <v>89324.47</v>
      </c>
      <c r="I194" s="18">
        <f>161.62+107.6+386.84+103.32+397+54.89+505.2+679+351.55</f>
        <v>2747.0200000000004</v>
      </c>
      <c r="J194" s="18"/>
      <c r="K194" s="18">
        <f>215</f>
        <v>215</v>
      </c>
      <c r="L194" s="19">
        <f t="shared" ref="L194:L200" si="0">SUM(F194:K194)</f>
        <v>224287.06999999998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17505.8</f>
        <v>17505.8</v>
      </c>
      <c r="G195" s="18">
        <f>4865.77+5065+1078+3519.04+89.66+16.08+1282.18+1311.18+37.69+102.23</f>
        <v>17366.829999999998</v>
      </c>
      <c r="H195" s="18">
        <f>3732+50+371</f>
        <v>4153</v>
      </c>
      <c r="I195" s="18">
        <f>188.57+187.83+3133.63+394.48+1527.3+379.39+240</f>
        <v>6051.2000000000007</v>
      </c>
      <c r="J195" s="18">
        <f>243.82</f>
        <v>243.82</v>
      </c>
      <c r="K195" s="18"/>
      <c r="L195" s="19">
        <f t="shared" si="0"/>
        <v>45320.65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3888+378+1499.4+466.2+120697.57</f>
        <v>126929.17000000001</v>
      </c>
      <c r="G196" s="18">
        <f>297.44+25.5+34.59+114.68+34.96+9.62+22327.87+587.75+150.24+8736.25+8298.39+2247.03+259.86+704.84+894.68</f>
        <v>44723.7</v>
      </c>
      <c r="H196" s="18">
        <f>1168.02+214.78+226.38+494.51+4692.16+3645.81+9986.76+456.96+3661+281.88+3800+820.36+377.33+1672.86+171.83+3737.9</f>
        <v>35408.54</v>
      </c>
      <c r="I196" s="18">
        <f>64.04+168+448.32+1533.2+847.4+143.9+32.45+48.28+43</f>
        <v>3328.59</v>
      </c>
      <c r="J196" s="18">
        <f>852.18</f>
        <v>852.18</v>
      </c>
      <c r="K196" s="18">
        <f>1351.77+389.42+1572.73-230.07</f>
        <v>3083.85</v>
      </c>
      <c r="L196" s="19">
        <f t="shared" si="0"/>
        <v>214326.03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81868.61</f>
        <v>81868.61</v>
      </c>
      <c r="G197" s="18">
        <f>21396.51+641.16+2022.21+5927.16+1869.56+4599.71+176.26+478.09+199</f>
        <v>37309.659999999996</v>
      </c>
      <c r="H197" s="18">
        <f>252+2315.63+999.08+1170.6+728.5</f>
        <v>5465.8099999999995</v>
      </c>
      <c r="I197" s="18">
        <f>3042.63</f>
        <v>3042.63</v>
      </c>
      <c r="J197" s="18">
        <f>796</f>
        <v>796</v>
      </c>
      <c r="K197" s="18">
        <f>1593.94+523.88</f>
        <v>2117.8200000000002</v>
      </c>
      <c r="L197" s="19">
        <f t="shared" si="0"/>
        <v>130600.53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35589.87</f>
        <v>35589.870000000003</v>
      </c>
      <c r="G199" s="18">
        <f>13110.87+379.09+2457.54+3259.18+76.62+207.84</f>
        <v>19491.14</v>
      </c>
      <c r="H199" s="18">
        <f>721.96+1972.72+420+4866.75+126+622.61+546.7+454.23+228.65</f>
        <v>9959.6200000000008</v>
      </c>
      <c r="I199" s="18">
        <f>9007.13+24351.75+19645.47+579+499.67+2100</f>
        <v>56183.02</v>
      </c>
      <c r="J199" s="18">
        <f>280.14+305.9</f>
        <v>586.04</v>
      </c>
      <c r="K199" s="18">
        <f>6423.12</f>
        <v>6423.12</v>
      </c>
      <c r="L199" s="19">
        <f t="shared" si="0"/>
        <v>128232.80999999998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4745.8+1835.75</f>
        <v>6581.55</v>
      </c>
      <c r="G200" s="18">
        <f>363.04+8.25+10.35+28.06+1363.1+122.04+168.18+3.95+10.72</f>
        <v>2077.6899999999996</v>
      </c>
      <c r="H200" s="18">
        <f>589.54+27948.5+692.85+477.3+2661.6</f>
        <v>32369.789999999997</v>
      </c>
      <c r="I200" s="18">
        <f>164.23+3346.54+46.54+2299.42</f>
        <v>5856.73</v>
      </c>
      <c r="J200" s="18"/>
      <c r="K200" s="18"/>
      <c r="L200" s="19">
        <f t="shared" si="0"/>
        <v>46885.759999999995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294</v>
      </c>
      <c r="I201" s="18"/>
      <c r="J201" s="18"/>
      <c r="K201" s="18"/>
      <c r="L201" s="19">
        <f>SUM(F201:K201)</f>
        <v>294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1323271.6000000003</v>
      </c>
      <c r="G203" s="41">
        <f t="shared" si="1"/>
        <v>572109.54</v>
      </c>
      <c r="H203" s="41">
        <f t="shared" si="1"/>
        <v>254511.28000000003</v>
      </c>
      <c r="I203" s="41">
        <f t="shared" si="1"/>
        <v>122593.73999999999</v>
      </c>
      <c r="J203" s="41">
        <f t="shared" si="1"/>
        <v>21819.79</v>
      </c>
      <c r="K203" s="41">
        <f t="shared" si="1"/>
        <v>13268.740000000002</v>
      </c>
      <c r="L203" s="41">
        <f t="shared" si="1"/>
        <v>2307574.69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391962.09+8535</f>
        <v>400497.09</v>
      </c>
      <c r="G207" s="18">
        <f>99160.37+2320.3+259.2+181.56+30326.62+206.1+29429.2+849.27+2303.56</f>
        <v>165036.18</v>
      </c>
      <c r="H207" s="18">
        <f>4899.56+2333.71+3050.14+133.46</f>
        <v>10416.869999999999</v>
      </c>
      <c r="I207" s="18">
        <f>8842.9+2053.25+2756.1+166.82+2022.5+396.88</f>
        <v>16238.449999999999</v>
      </c>
      <c r="J207" s="18">
        <f>954.48+832.9</f>
        <v>1787.38</v>
      </c>
      <c r="K207" s="18">
        <v>620</v>
      </c>
      <c r="L207" s="19">
        <f>SUM(F207:K207)</f>
        <v>594595.97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77743.21+4445+2087.5</f>
        <v>84275.71</v>
      </c>
      <c r="G208" s="18">
        <f>12967.02+245.08+38.4+6039.89+1078.45+4021.41+167.38+454+159.7+156.35+4.49+12.19</f>
        <v>25344.36</v>
      </c>
      <c r="H208" s="18">
        <f>2770+1431.51+25.64+134.25</f>
        <v>4361.4000000000005</v>
      </c>
      <c r="I208" s="18">
        <f>225.4+15.34+868.81+226.75+79.34</f>
        <v>1415.6399999999999</v>
      </c>
      <c r="J208" s="18">
        <f>63.98+153.99</f>
        <v>217.97</v>
      </c>
      <c r="K208" s="18">
        <f>2265</f>
        <v>2265</v>
      </c>
      <c r="L208" s="19">
        <f>SUM(F208:K208)</f>
        <v>117880.08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9734+2612.5+2587.5</f>
        <v>14934</v>
      </c>
      <c r="G210" s="18">
        <f>743.06+108.27+248.96+22.87+62.03+198.06+43.06+191.48+193.79</f>
        <v>1811.5799999999997</v>
      </c>
      <c r="H210" s="18">
        <f>3200</f>
        <v>3200</v>
      </c>
      <c r="I210" s="18">
        <f>1994.39</f>
        <v>1994.39</v>
      </c>
      <c r="J210" s="18"/>
      <c r="K210" s="18">
        <f>375</f>
        <v>375</v>
      </c>
      <c r="L210" s="19">
        <f>SUM(F210:K210)</f>
        <v>22314.969999999998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33875.19+9000.35+8940.09</f>
        <v>51815.630000000005</v>
      </c>
      <c r="G212" s="18">
        <f>4062.78+228.29+2537.67+1265.1+1502.55+72.93+197.82+3029.52+77.21+645.65+674.14+19.38+52.56+1296.9+66+8.04+666.88+669.52+19.25+52.21</f>
        <v>17144.399999999998</v>
      </c>
      <c r="H212" s="18">
        <f>675+242.64+1350+1162.5+6877.5</f>
        <v>10307.64</v>
      </c>
      <c r="I212" s="18">
        <f>129.02+258.74+66.42+190+62</f>
        <v>706.18000000000006</v>
      </c>
      <c r="J212" s="18"/>
      <c r="K212" s="18"/>
      <c r="L212" s="19">
        <f t="shared" ref="L212:L218" si="2">SUM(F212:K212)</f>
        <v>79973.849999999991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1000+15246.93</f>
        <v>16246.93</v>
      </c>
      <c r="G213" s="18">
        <f>76.5+74.9+2039.66+285+759+3064.86+78.19+10.8+1116.77+1141.94+32.83+89.04</f>
        <v>8769.4900000000016</v>
      </c>
      <c r="H213" s="18">
        <f>3761.99+214.86+50+200</f>
        <v>4226.8500000000004</v>
      </c>
      <c r="I213" s="18">
        <f>78.84+87.54+1992.86+253.59+994.35+817.39+240</f>
        <v>4464.57</v>
      </c>
      <c r="J213" s="18"/>
      <c r="K213" s="18"/>
      <c r="L213" s="19">
        <f t="shared" si="2"/>
        <v>33707.840000000004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2686+243+963.92+299.7+77586.98</f>
        <v>81779.599999999991</v>
      </c>
      <c r="G214" s="18">
        <f>205.51+65.58+1.68+16.43+22.19+73.72+22.48+6.18+14350.34+377.92+96.6+5615.79+5334.18+1444.52+167.04+453.09+543.01</f>
        <v>28796.260000000002</v>
      </c>
      <c r="H214" s="18">
        <f>750.87+82.66+147.03+317.88+3016.38+2343.74+6144.37+293.76+2353.5+181.2+3800+519.84+231.42+1002.44+84.55+2402.97</f>
        <v>23672.609999999997</v>
      </c>
      <c r="I214" s="18">
        <f>41.18+108+231.11+838.97+544.76+92.51+20.01+31.03+23</f>
        <v>1930.57</v>
      </c>
      <c r="J214" s="18">
        <f>547.83</f>
        <v>547.83000000000004</v>
      </c>
      <c r="K214" s="18">
        <f>868.99+250.48+1011.04+123.87</f>
        <v>2254.38</v>
      </c>
      <c r="L214" s="19">
        <f t="shared" si="2"/>
        <v>138981.24999999997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64815.17</f>
        <v>64815.17</v>
      </c>
      <c r="G215" s="18">
        <f>7122.82+327.74+1299.99+4833.76+1381.24+3717.84+139.55+378.5</f>
        <v>19201.439999999999</v>
      </c>
      <c r="H215" s="18">
        <f>162+1488.63+639.76+732.85+672.82</f>
        <v>3696.0600000000004</v>
      </c>
      <c r="I215" s="18">
        <f>1015.32+328</f>
        <v>1343.3200000000002</v>
      </c>
      <c r="J215" s="18"/>
      <c r="K215" s="18">
        <f>1521.69+276.78</f>
        <v>1798.47</v>
      </c>
      <c r="L215" s="19">
        <f t="shared" si="2"/>
        <v>90854.46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33030.86</f>
        <v>33030.86</v>
      </c>
      <c r="G217" s="18">
        <f>12883.89+367.64+2313.39+3024.71+71.12+192.89</f>
        <v>18853.639999999996</v>
      </c>
      <c r="H217" s="18">
        <f>3156.49+2362.91+270+3128.63+257+400.25+351.45+292+146.99</f>
        <v>10365.719999999999</v>
      </c>
      <c r="I217" s="18">
        <f>6310.32+22948.12+14852.01+925.95+321.24</f>
        <v>45357.639999999992</v>
      </c>
      <c r="J217" s="18">
        <f>180.09+196.65</f>
        <v>376.74</v>
      </c>
      <c r="K217" s="18">
        <f>4659.66</f>
        <v>4659.66</v>
      </c>
      <c r="L217" s="19">
        <f t="shared" si="2"/>
        <v>112644.26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10</f>
        <v>10</v>
      </c>
      <c r="G218" s="18">
        <f>6.44+0.19+0.27+0.02+0.06</f>
        <v>6.9799999999999995</v>
      </c>
      <c r="H218" s="18">
        <f>17966.9+5424.2+12093.95</f>
        <v>35485.050000000003</v>
      </c>
      <c r="I218" s="18"/>
      <c r="J218" s="18"/>
      <c r="K218" s="18"/>
      <c r="L218" s="19">
        <f t="shared" si="2"/>
        <v>35502.030000000006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189</v>
      </c>
      <c r="I219" s="18"/>
      <c r="J219" s="18"/>
      <c r="K219" s="18"/>
      <c r="L219" s="19">
        <f>SUM(F219:K219)</f>
        <v>189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747404.99000000011</v>
      </c>
      <c r="G221" s="41">
        <f>SUM(G207:G220)</f>
        <v>284964.32999999996</v>
      </c>
      <c r="H221" s="41">
        <f>SUM(H207:H220)</f>
        <v>105921.2</v>
      </c>
      <c r="I221" s="41">
        <f>SUM(I207:I220)</f>
        <v>73450.759999999995</v>
      </c>
      <c r="J221" s="41">
        <f>SUM(J207:J220)</f>
        <v>2929.92</v>
      </c>
      <c r="K221" s="41">
        <f t="shared" si="3"/>
        <v>11972.51</v>
      </c>
      <c r="L221" s="41">
        <f t="shared" si="3"/>
        <v>1226643.71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609376.14+28325</f>
        <v>637701.14</v>
      </c>
      <c r="G225" s="18">
        <f>107680.69+2742.8+531.2+217.45+48233.16+980.12+43464.04+1338.89+3631.6</f>
        <v>208819.95</v>
      </c>
      <c r="H225" s="18">
        <f>4410.01+5544.79+3641.96+3502+39674.7+1433.5+287</f>
        <v>58493.959999999992</v>
      </c>
      <c r="I225" s="18">
        <f>11484.06+1952.16+24.48+2233.59+10512.39+347.92+11705.74+435.29</f>
        <v>38695.629999999997</v>
      </c>
      <c r="J225" s="18">
        <f>4738.75+159.99+6155.48+2701.77+18525.65+9479.55</f>
        <v>41761.19</v>
      </c>
      <c r="K225" s="18">
        <f>2126</f>
        <v>2126</v>
      </c>
      <c r="L225" s="19">
        <f>SUM(F225:K225)</f>
        <v>987597.87000000011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113792.4+8520+15</f>
        <v>122327.4</v>
      </c>
      <c r="G226" s="18">
        <f>7702.8+427.34+108.8+9672.23+2003.49+6045.79+255.76+693.72+1.15+0.03+0.09</f>
        <v>26911.200000000001</v>
      </c>
      <c r="H226" s="18">
        <f>17395.95+50+1638.99+279.24+59213.06+55665.5+593.15+713.05-51500</f>
        <v>84048.939999999973</v>
      </c>
      <c r="I226" s="18">
        <f>861.02+488.53+681.83+221.76+430</f>
        <v>2683.1400000000003</v>
      </c>
      <c r="J226" s="18">
        <f>2576</f>
        <v>2576</v>
      </c>
      <c r="K226" s="18"/>
      <c r="L226" s="19">
        <f>SUM(F226:K226)</f>
        <v>238546.68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5000</f>
        <v>5000</v>
      </c>
      <c r="G227" s="18">
        <f>382.5+10.76+29.2</f>
        <v>422.46</v>
      </c>
      <c r="H227" s="18">
        <f>6158.9</f>
        <v>6158.9</v>
      </c>
      <c r="I227" s="18">
        <f>36.6</f>
        <v>36.6</v>
      </c>
      <c r="J227" s="18"/>
      <c r="K227" s="18"/>
      <c r="L227" s="19">
        <f>SUM(F227:K227)</f>
        <v>11617.960000000001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48085.5+3000</f>
        <v>51085.5</v>
      </c>
      <c r="G228" s="18">
        <f>3639.51+103.69+1021.84+103.53+280.81+655+225.65+224.7</f>
        <v>6254.73</v>
      </c>
      <c r="H228" s="18">
        <f>552+9069</f>
        <v>9621</v>
      </c>
      <c r="I228" s="18">
        <f>12361.02+200+712.92+250</f>
        <v>13523.94</v>
      </c>
      <c r="J228" s="18"/>
      <c r="K228" s="18">
        <f>4240</f>
        <v>4240</v>
      </c>
      <c r="L228" s="19">
        <f>SUM(F228:K228)</f>
        <v>84725.17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46864.77+10247.73+10264.31+25</f>
        <v>67401.81</v>
      </c>
      <c r="G230" s="18">
        <f>6094.17+306.23+38.4+3505.67+1535.94+2253.93+100.9+273.68+3460.76+88.29+735.02+767.56+22.06+59.84+1488.52+76.12+13.44+765.63+769.04+22.1+59.94+1.81+2.29</f>
        <v>22441.340000000004</v>
      </c>
      <c r="H230" s="18">
        <f>23000+9388.75+151.25+110+278.6+541.2+182+239.3+1550+1031.25+1802.5</f>
        <v>38274.85</v>
      </c>
      <c r="I230" s="18">
        <f>391.64+1254.99+251.32+76.26+254.75+33.95</f>
        <v>2262.91</v>
      </c>
      <c r="J230" s="18"/>
      <c r="K230" s="18">
        <f>155</f>
        <v>155</v>
      </c>
      <c r="L230" s="19">
        <f t="shared" ref="L230:L236" si="4">SUM(F230:K230)</f>
        <v>130535.91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3000+38387.65</f>
        <v>41387.65</v>
      </c>
      <c r="G231" s="18">
        <f>226.93+224.7+5156.04+7731+2568+7489.38+203.92+11.52+2650.84+1847.97+82.65+224.17</f>
        <v>28417.119999999999</v>
      </c>
      <c r="H231" s="18">
        <f>3568.1+681.12+320</f>
        <v>4569.22</v>
      </c>
      <c r="I231" s="18">
        <f>146.54+115.85+2182.38+327.16+1094.13+851.64+289</f>
        <v>5006.7</v>
      </c>
      <c r="J231" s="18"/>
      <c r="K231" s="18">
        <f>120</f>
        <v>120</v>
      </c>
      <c r="L231" s="19">
        <f t="shared" si="4"/>
        <v>79500.69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2976+279+1106.68+344.1+89102.22</f>
        <v>93808</v>
      </c>
      <c r="G232" s="18">
        <f>227.63+75.28+1.88+18.88+25.64+84.72+25.85+7.1+16489.26+433.61+110.88+6449.45+6126.35+1658.67+191.84+520.33+623.45</f>
        <v>33070.82</v>
      </c>
      <c r="H232" s="18">
        <f>862.11+111.16+168.19+364.99+3463.26+2690.95+6974.56+337.28+2702.17+208.05+3800+613.07+275.37+1150.95+104.47+2758.92</f>
        <v>26585.5</v>
      </c>
      <c r="I232" s="18">
        <f>47.28+123+280.8+973.94+625.46+106.21+56.77+35.63+34</f>
        <v>2283.09</v>
      </c>
      <c r="J232" s="18">
        <f>628.99</f>
        <v>628.99</v>
      </c>
      <c r="K232" s="18">
        <f>997.73+312.6+1160.83+188.47</f>
        <v>2659.6299999999997</v>
      </c>
      <c r="L232" s="19">
        <f t="shared" si="4"/>
        <v>159036.03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72357.24</f>
        <v>72357.240000000005</v>
      </c>
      <c r="G233" s="18">
        <f>7122.82+384.6+1492.6+5409.17+2072.1+3717.43+155.78+422.55</f>
        <v>20777.05</v>
      </c>
      <c r="H233" s="18">
        <f>110+666+1709.22+734.15+970.72+522.38+1076.6</f>
        <v>5789.07</v>
      </c>
      <c r="I233" s="18">
        <f>2533.35+115+30.75+517.05</f>
        <v>3196.1499999999996</v>
      </c>
      <c r="J233" s="18"/>
      <c r="K233" s="18">
        <f>1415.37+283.71</f>
        <v>1699.08</v>
      </c>
      <c r="L233" s="19">
        <f t="shared" si="4"/>
        <v>103818.59000000001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40827.26+292.5</f>
        <v>41119.760000000002</v>
      </c>
      <c r="G235" s="18">
        <f>2383.89+121.59+3110.41+3533.71+87.9+238.42</f>
        <v>9475.9199999999983</v>
      </c>
      <c r="H235" s="18">
        <f>4491.66+4329.44+607.81+490+3592.12+605.75+459.55+403.51+335.27+168.76</f>
        <v>15483.869999999999</v>
      </c>
      <c r="I235" s="18">
        <f>7506.85+29059.38+18783.28+1477.76+368.84</f>
        <v>57196.11</v>
      </c>
      <c r="J235" s="18">
        <f>206.77+225.78</f>
        <v>432.55</v>
      </c>
      <c r="K235" s="18">
        <f>5811.22</f>
        <v>5811.22</v>
      </c>
      <c r="L235" s="19">
        <f t="shared" si="4"/>
        <v>129519.43000000001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60+75+35454.25+45</f>
        <v>35634.25</v>
      </c>
      <c r="G236" s="18">
        <f>4.59+5.74+0.16+0.44+8970.98+2.8+2585.39+1069.8+76.34+207.04+28.79+3.06+4.12</f>
        <v>12959.25</v>
      </c>
      <c r="H236" s="18">
        <f>20628.6+639.1+3470.88+3392.76+4706.29+13743+3006.25</f>
        <v>49586.879999999997</v>
      </c>
      <c r="I236" s="18">
        <f>499.86+253.18+7668.97</f>
        <v>8422.01</v>
      </c>
      <c r="J236" s="18">
        <f>18738.64</f>
        <v>18738.64</v>
      </c>
      <c r="K236" s="18"/>
      <c r="L236" s="19">
        <f t="shared" si="4"/>
        <v>125341.03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217</v>
      </c>
      <c r="I237" s="18"/>
      <c r="J237" s="18"/>
      <c r="K237" s="18"/>
      <c r="L237" s="19">
        <f>SUM(F237:K237)</f>
        <v>217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1167822.7500000002</v>
      </c>
      <c r="G239" s="41">
        <f t="shared" si="5"/>
        <v>369549.84</v>
      </c>
      <c r="H239" s="41">
        <f t="shared" si="5"/>
        <v>298829.18999999994</v>
      </c>
      <c r="I239" s="41">
        <f t="shared" si="5"/>
        <v>133306.28</v>
      </c>
      <c r="J239" s="41">
        <f t="shared" si="5"/>
        <v>64137.37</v>
      </c>
      <c r="K239" s="41">
        <f t="shared" si="5"/>
        <v>16810.93</v>
      </c>
      <c r="L239" s="41">
        <f t="shared" si="5"/>
        <v>2050456.3599999999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3238499.3400000008</v>
      </c>
      <c r="G249" s="41">
        <f t="shared" si="8"/>
        <v>1226623.71</v>
      </c>
      <c r="H249" s="41">
        <f t="shared" si="8"/>
        <v>659261.66999999993</v>
      </c>
      <c r="I249" s="41">
        <f t="shared" si="8"/>
        <v>329350.78000000003</v>
      </c>
      <c r="J249" s="41">
        <f t="shared" si="8"/>
        <v>88887.08</v>
      </c>
      <c r="K249" s="41">
        <f t="shared" si="8"/>
        <v>42052.18</v>
      </c>
      <c r="L249" s="41">
        <f t="shared" si="8"/>
        <v>5584674.7599999998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13586.71</v>
      </c>
      <c r="L255" s="19">
        <f>SUM(F255:K255)</f>
        <v>13586.71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90000+52158.9</f>
        <v>142158.9</v>
      </c>
      <c r="L258" s="19">
        <f t="shared" si="9"/>
        <v>142158.9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51500</v>
      </c>
      <c r="L260" s="19">
        <f t="shared" si="9"/>
        <v>51500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207245.61</v>
      </c>
      <c r="L262" s="41">
        <f t="shared" si="9"/>
        <v>207245.61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3238499.3400000008</v>
      </c>
      <c r="G263" s="42">
        <f t="shared" si="11"/>
        <v>1226623.71</v>
      </c>
      <c r="H263" s="42">
        <f t="shared" si="11"/>
        <v>659261.66999999993</v>
      </c>
      <c r="I263" s="42">
        <f t="shared" si="11"/>
        <v>329350.78000000003</v>
      </c>
      <c r="J263" s="42">
        <f t="shared" si="11"/>
        <v>88887.08</v>
      </c>
      <c r="K263" s="42">
        <f t="shared" si="11"/>
        <v>249297.78999999998</v>
      </c>
      <c r="L263" s="42">
        <f t="shared" si="11"/>
        <v>5791920.3700000001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51768.58+1000+1250</f>
        <v>54018.58</v>
      </c>
      <c r="G268" s="18">
        <f>604.4+79.7+93.62</f>
        <v>777.72</v>
      </c>
      <c r="H268" s="18">
        <f>232</f>
        <v>232</v>
      </c>
      <c r="I268" s="18">
        <f>69.97</f>
        <v>69.97</v>
      </c>
      <c r="J268" s="18">
        <f>145.49+9623.21+6222.36</f>
        <v>15991.059999999998</v>
      </c>
      <c r="K268" s="18">
        <f>117.98</f>
        <v>117.98</v>
      </c>
      <c r="L268" s="19">
        <f>SUM(F268:K268)</f>
        <v>71207.31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932+14489.5+13685.45</f>
        <v>29106.95</v>
      </c>
      <c r="G269" s="18">
        <f>71.67+947.83+1327.26+0.1+981.07+982.06</f>
        <v>4309.99</v>
      </c>
      <c r="H269" s="18"/>
      <c r="I269" s="18">
        <f>2131.55</f>
        <v>2131.5500000000002</v>
      </c>
      <c r="J269" s="18"/>
      <c r="K269" s="18"/>
      <c r="L269" s="19">
        <f>SUM(F269:K269)</f>
        <v>35548.490000000005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8000+3000</f>
        <v>11000</v>
      </c>
      <c r="G271" s="18"/>
      <c r="H271" s="18"/>
      <c r="I271" s="18"/>
      <c r="J271" s="18"/>
      <c r="K271" s="18"/>
      <c r="L271" s="19">
        <f>SUM(F271:K271)</f>
        <v>11000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10070.33</f>
        <v>10070.33</v>
      </c>
      <c r="G273" s="18">
        <f>751.02+754.26</f>
        <v>1505.28</v>
      </c>
      <c r="H273" s="18">
        <f>3643.2+10790.75+3000+4212.6</f>
        <v>21646.550000000003</v>
      </c>
      <c r="I273" s="18">
        <f>1926.6</f>
        <v>1926.6</v>
      </c>
      <c r="J273" s="18"/>
      <c r="K273" s="18"/>
      <c r="L273" s="19">
        <f t="shared" ref="L273:L279" si="12">SUM(F273:K273)</f>
        <v>35148.76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1700+140+2450</f>
        <v>4290</v>
      </c>
      <c r="G274" s="18"/>
      <c r="H274" s="18">
        <f>13149.93+4557.4+6781.25+180</f>
        <v>24668.58</v>
      </c>
      <c r="I274" s="18"/>
      <c r="J274" s="18">
        <f>275</f>
        <v>275</v>
      </c>
      <c r="K274" s="18"/>
      <c r="L274" s="19">
        <f t="shared" si="12"/>
        <v>29233.58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108485.86</v>
      </c>
      <c r="G282" s="42">
        <f t="shared" si="13"/>
        <v>6592.99</v>
      </c>
      <c r="H282" s="42">
        <f t="shared" si="13"/>
        <v>46547.130000000005</v>
      </c>
      <c r="I282" s="42">
        <f t="shared" si="13"/>
        <v>4128.12</v>
      </c>
      <c r="J282" s="42">
        <f t="shared" si="13"/>
        <v>16266.059999999998</v>
      </c>
      <c r="K282" s="42">
        <f t="shared" si="13"/>
        <v>117.98</v>
      </c>
      <c r="L282" s="41">
        <f t="shared" si="13"/>
        <v>182138.14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21991.92</f>
        <v>21991.919999999998</v>
      </c>
      <c r="G287" s="18">
        <v>200</v>
      </c>
      <c r="H287" s="18"/>
      <c r="I287" s="18">
        <f>5445.04</f>
        <v>5445.04</v>
      </c>
      <c r="J287" s="18"/>
      <c r="K287" s="18"/>
      <c r="L287" s="19">
        <f>SUM(F287:K287)</f>
        <v>27636.959999999999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13149.33+10330.3</f>
        <v>23479.629999999997</v>
      </c>
      <c r="G288" s="18">
        <f>1005.87+1204.47+783.51+946.23</f>
        <v>3940.0800000000004</v>
      </c>
      <c r="H288" s="18">
        <f>21245</f>
        <v>21245</v>
      </c>
      <c r="I288" s="18">
        <f>299.6</f>
        <v>299.60000000000002</v>
      </c>
      <c r="J288" s="18"/>
      <c r="K288" s="18"/>
      <c r="L288" s="19">
        <f>SUM(F288:K288)</f>
        <v>48964.31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6473.75</f>
        <v>6473.75</v>
      </c>
      <c r="G292" s="18">
        <f>482.75+484.9</f>
        <v>967.65</v>
      </c>
      <c r="H292" s="18">
        <f>5733.79+1350+3948.8</f>
        <v>11032.59</v>
      </c>
      <c r="I292" s="18"/>
      <c r="J292" s="18"/>
      <c r="K292" s="18"/>
      <c r="L292" s="19">
        <f t="shared" ref="L292:L298" si="14">SUM(F292:K292)</f>
        <v>18473.989999999998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400</f>
        <v>400</v>
      </c>
      <c r="G293" s="18"/>
      <c r="H293" s="18">
        <f>3596.03+180</f>
        <v>3776.03</v>
      </c>
      <c r="I293" s="18"/>
      <c r="J293" s="18">
        <f>325.5</f>
        <v>325.5</v>
      </c>
      <c r="K293" s="18"/>
      <c r="L293" s="19">
        <f t="shared" si="14"/>
        <v>4501.5300000000007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52345.299999999996</v>
      </c>
      <c r="G301" s="42">
        <f t="shared" si="15"/>
        <v>5107.7299999999996</v>
      </c>
      <c r="H301" s="42">
        <f t="shared" si="15"/>
        <v>36053.620000000003</v>
      </c>
      <c r="I301" s="42">
        <f t="shared" si="15"/>
        <v>5744.64</v>
      </c>
      <c r="J301" s="42">
        <f t="shared" si="15"/>
        <v>325.5</v>
      </c>
      <c r="K301" s="42">
        <f t="shared" si="15"/>
        <v>0</v>
      </c>
      <c r="L301" s="41">
        <f t="shared" si="15"/>
        <v>99576.789999999979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>
        <v>449.97</v>
      </c>
      <c r="K306" s="18"/>
      <c r="L306" s="19">
        <f>SUM(F306:K306)</f>
        <v>449.97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975</f>
        <v>975</v>
      </c>
      <c r="G307" s="18">
        <f>66.77+89.43</f>
        <v>156.19999999999999</v>
      </c>
      <c r="H307" s="18"/>
      <c r="I307" s="18">
        <f>299.6</f>
        <v>299.60000000000002</v>
      </c>
      <c r="J307" s="18">
        <f>1047</f>
        <v>1047</v>
      </c>
      <c r="K307" s="18"/>
      <c r="L307" s="19">
        <f>SUM(F307:K307)</f>
        <v>2477.8000000000002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5800+4716+7432.88</f>
        <v>17948.88</v>
      </c>
      <c r="G311" s="18">
        <f>554.32+556.67</f>
        <v>1110.99</v>
      </c>
      <c r="H311" s="18">
        <f>3192+1008+15879.88+200+1279.2+4894.79+4368.6</f>
        <v>30822.47</v>
      </c>
      <c r="I311" s="18">
        <f>1139</f>
        <v>1139</v>
      </c>
      <c r="J311" s="18"/>
      <c r="K311" s="18"/>
      <c r="L311" s="19">
        <f t="shared" ref="L311:L317" si="16">SUM(F311:K311)</f>
        <v>51021.340000000004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800+400</f>
        <v>1200</v>
      </c>
      <c r="G312" s="18">
        <f>15.26+14.98</f>
        <v>30.240000000000002</v>
      </c>
      <c r="H312" s="18">
        <f>1702.24+1092+335.95</f>
        <v>3130.1899999999996</v>
      </c>
      <c r="I312" s="18"/>
      <c r="J312" s="18">
        <f>613.47</f>
        <v>613.47</v>
      </c>
      <c r="K312" s="18"/>
      <c r="L312" s="19">
        <f t="shared" si="16"/>
        <v>4973.8999999999996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20123.88</v>
      </c>
      <c r="G320" s="42">
        <f t="shared" si="17"/>
        <v>1297.43</v>
      </c>
      <c r="H320" s="42">
        <f t="shared" si="17"/>
        <v>33952.660000000003</v>
      </c>
      <c r="I320" s="42">
        <f t="shared" si="17"/>
        <v>1438.6</v>
      </c>
      <c r="J320" s="42">
        <f t="shared" si="17"/>
        <v>2110.44</v>
      </c>
      <c r="K320" s="42">
        <f t="shared" si="17"/>
        <v>0</v>
      </c>
      <c r="L320" s="41">
        <f t="shared" si="17"/>
        <v>58923.01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180955.04</v>
      </c>
      <c r="G330" s="41">
        <f t="shared" si="20"/>
        <v>12998.15</v>
      </c>
      <c r="H330" s="41">
        <f t="shared" si="20"/>
        <v>116553.41</v>
      </c>
      <c r="I330" s="41">
        <f t="shared" si="20"/>
        <v>11311.36</v>
      </c>
      <c r="J330" s="41">
        <f t="shared" si="20"/>
        <v>18701.999999999996</v>
      </c>
      <c r="K330" s="41">
        <f t="shared" si="20"/>
        <v>117.98</v>
      </c>
      <c r="L330" s="41">
        <f t="shared" si="20"/>
        <v>340637.94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180955.04</v>
      </c>
      <c r="G344" s="41">
        <f>G330</f>
        <v>12998.15</v>
      </c>
      <c r="H344" s="41">
        <f>H330</f>
        <v>116553.41</v>
      </c>
      <c r="I344" s="41">
        <f>I330</f>
        <v>11311.36</v>
      </c>
      <c r="J344" s="41">
        <f>J330</f>
        <v>18701.999999999996</v>
      </c>
      <c r="K344" s="47">
        <f>K330+K343</f>
        <v>117.98</v>
      </c>
      <c r="L344" s="41">
        <f>L330+L343</f>
        <v>340637.94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1361.81+70064.84</f>
        <v>71426.649999999994</v>
      </c>
      <c r="I350" s="18">
        <f>681.78</f>
        <v>681.78</v>
      </c>
      <c r="J350" s="18"/>
      <c r="K350" s="18"/>
      <c r="L350" s="13">
        <f>SUM(F350:K350)</f>
        <v>72108.429999999993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f>875.45+45041.65</f>
        <v>45917.1</v>
      </c>
      <c r="I351" s="18">
        <f>440.84</f>
        <v>440.84</v>
      </c>
      <c r="J351" s="18"/>
      <c r="K351" s="18"/>
      <c r="L351" s="19">
        <f>SUM(F351:K351)</f>
        <v>46357.939999999995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1005.15+51714.51</f>
        <v>52719.66</v>
      </c>
      <c r="I352" s="18">
        <f>506.16</f>
        <v>506.16</v>
      </c>
      <c r="J352" s="18"/>
      <c r="K352" s="18"/>
      <c r="L352" s="19">
        <f>SUM(F352:K352)</f>
        <v>53225.820000000007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170063.41</v>
      </c>
      <c r="I354" s="47">
        <f t="shared" si="22"/>
        <v>1628.78</v>
      </c>
      <c r="J354" s="47">
        <f t="shared" si="22"/>
        <v>0</v>
      </c>
      <c r="K354" s="47">
        <f t="shared" si="22"/>
        <v>0</v>
      </c>
      <c r="L354" s="47">
        <f t="shared" si="22"/>
        <v>171692.19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681.78</f>
        <v>681.78</v>
      </c>
      <c r="G360" s="63">
        <f>440.84</f>
        <v>440.84</v>
      </c>
      <c r="H360" s="63">
        <f>506.16</f>
        <v>506.16</v>
      </c>
      <c r="I360" s="56">
        <f>SUM(F360:H360)</f>
        <v>1628.78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681.78</v>
      </c>
      <c r="G361" s="47">
        <f>SUM(G359:G360)</f>
        <v>440.84</v>
      </c>
      <c r="H361" s="47">
        <f>SUM(H359:H360)</f>
        <v>506.16</v>
      </c>
      <c r="I361" s="47">
        <f>SUM(I359:I360)</f>
        <v>1628.78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f>26079.45</f>
        <v>26079.45</v>
      </c>
      <c r="H388" s="18">
        <f>175.27+0.3</f>
        <v>175.57000000000002</v>
      </c>
      <c r="I388" s="18"/>
      <c r="J388" s="24" t="s">
        <v>312</v>
      </c>
      <c r="K388" s="24" t="s">
        <v>312</v>
      </c>
      <c r="L388" s="56">
        <f t="shared" si="26"/>
        <v>26255.02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90000</v>
      </c>
      <c r="H389" s="18">
        <f>293.52</f>
        <v>293.52</v>
      </c>
      <c r="I389" s="18"/>
      <c r="J389" s="24" t="s">
        <v>312</v>
      </c>
      <c r="K389" s="24" t="s">
        <v>312</v>
      </c>
      <c r="L389" s="56">
        <f t="shared" si="26"/>
        <v>90293.52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7823.84</v>
      </c>
      <c r="H391" s="18">
        <f>11.16</f>
        <v>11.16</v>
      </c>
      <c r="I391" s="18"/>
      <c r="J391" s="24" t="s">
        <v>312</v>
      </c>
      <c r="K391" s="24" t="s">
        <v>312</v>
      </c>
      <c r="L391" s="56">
        <f t="shared" si="26"/>
        <v>7835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f>2607.95+10431.77+5215.89</f>
        <v>18255.61</v>
      </c>
      <c r="H392" s="18">
        <f>11.81+48.63+6.57</f>
        <v>67.010000000000005</v>
      </c>
      <c r="I392" s="18"/>
      <c r="J392" s="24" t="s">
        <v>312</v>
      </c>
      <c r="K392" s="24" t="s">
        <v>312</v>
      </c>
      <c r="L392" s="56">
        <f t="shared" si="26"/>
        <v>18322.62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142158.9</v>
      </c>
      <c r="H393" s="47">
        <f>SUM(H387:H392)</f>
        <v>547.2600000000001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142706.16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142158.9</v>
      </c>
      <c r="H400" s="47">
        <f>H385+H393+H399</f>
        <v>547.2600000000001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142706.16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>
        <v>8477</v>
      </c>
      <c r="K414" s="18"/>
      <c r="L414" s="56">
        <f t="shared" si="29"/>
        <v>8477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8477</v>
      </c>
      <c r="K419" s="47">
        <f t="shared" si="30"/>
        <v>0</v>
      </c>
      <c r="L419" s="47">
        <f t="shared" si="30"/>
        <v>8477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8477</v>
      </c>
      <c r="K426" s="47">
        <f t="shared" si="32"/>
        <v>0</v>
      </c>
      <c r="L426" s="47">
        <f t="shared" si="32"/>
        <v>8477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275661.17</v>
      </c>
      <c r="H432" s="18"/>
      <c r="I432" s="56">
        <f t="shared" si="33"/>
        <v>275661.17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275661.17</v>
      </c>
      <c r="H438" s="13">
        <f>SUM(H431:H437)</f>
        <v>0</v>
      </c>
      <c r="I438" s="13">
        <f>SUM(I431:I437)</f>
        <v>275661.17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275661.17</v>
      </c>
      <c r="H449" s="18"/>
      <c r="I449" s="56">
        <f>SUM(F449:H449)</f>
        <v>275661.17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275661.17</v>
      </c>
      <c r="H450" s="83">
        <f>SUM(H446:H449)</f>
        <v>0</v>
      </c>
      <c r="I450" s="83">
        <f>SUM(I446:I449)</f>
        <v>275661.17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275661.17</v>
      </c>
      <c r="H451" s="42">
        <f>H444+H450</f>
        <v>0</v>
      </c>
      <c r="I451" s="42">
        <f>I444+I450</f>
        <v>275661.17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209229.7</v>
      </c>
      <c r="G455" s="18">
        <v>9043.67</v>
      </c>
      <c r="H455" s="18">
        <v>14170.92</v>
      </c>
      <c r="I455" s="18">
        <v>0</v>
      </c>
      <c r="J455" s="18">
        <v>141432.01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6026819.5300000003</v>
      </c>
      <c r="G458" s="18">
        <v>171692.19</v>
      </c>
      <c r="H458" s="18">
        <v>335122.83</v>
      </c>
      <c r="I458" s="18">
        <v>4.7699999999999996</v>
      </c>
      <c r="J458" s="18">
        <f>142706.16</f>
        <v>142706.16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6026819.5300000003</v>
      </c>
      <c r="G460" s="53">
        <f>SUM(G458:G459)</f>
        <v>171692.19</v>
      </c>
      <c r="H460" s="53">
        <f>SUM(H458:H459)</f>
        <v>335122.83</v>
      </c>
      <c r="I460" s="53">
        <f>SUM(I458:I459)</f>
        <v>4.7699999999999996</v>
      </c>
      <c r="J460" s="53">
        <f>SUM(J458:J459)</f>
        <v>142706.16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5739761.47+52158.9</f>
        <v>5791920.3700000001</v>
      </c>
      <c r="G462" s="18">
        <v>171692.19</v>
      </c>
      <c r="H462" s="18">
        <f>340637.94</f>
        <v>340637.94</v>
      </c>
      <c r="I462" s="18">
        <v>0</v>
      </c>
      <c r="J462" s="18">
        <v>8477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5791920.3700000001</v>
      </c>
      <c r="G464" s="53">
        <f>SUM(G462:G463)</f>
        <v>171692.19</v>
      </c>
      <c r="H464" s="53">
        <f>SUM(H462:H463)</f>
        <v>340637.94</v>
      </c>
      <c r="I464" s="53">
        <f>SUM(I462:I463)</f>
        <v>0</v>
      </c>
      <c r="J464" s="53">
        <f>SUM(J462:J463)</f>
        <v>8477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444128.86000000034</v>
      </c>
      <c r="G466" s="53">
        <f>(G455+G460)- G464</f>
        <v>9043.6700000000128</v>
      </c>
      <c r="H466" s="53">
        <f>(H455+H460)- H464</f>
        <v>8655.8099999999977</v>
      </c>
      <c r="I466" s="53">
        <f>(I455+I460)- I464</f>
        <v>4.7699999999999996</v>
      </c>
      <c r="J466" s="53">
        <f>(J455+J460)- J464</f>
        <v>275661.17000000004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1.78E-2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500000</v>
      </c>
      <c r="G488" s="205"/>
      <c r="H488" s="205"/>
      <c r="I488" s="205"/>
      <c r="J488" s="205"/>
      <c r="K488" s="206">
        <f t="shared" si="34"/>
        <v>500000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25173.42</v>
      </c>
      <c r="G489" s="18"/>
      <c r="H489" s="18"/>
      <c r="I489" s="18"/>
      <c r="J489" s="18"/>
      <c r="K489" s="53">
        <f t="shared" si="34"/>
        <v>25173.42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525173.42000000004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525173.42000000004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f>47993.19+48449.8</f>
        <v>96442.99</v>
      </c>
      <c r="G491" s="205"/>
      <c r="H491" s="205"/>
      <c r="I491" s="205"/>
      <c r="J491" s="205"/>
      <c r="K491" s="206">
        <f t="shared" si="34"/>
        <v>96442.99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4524.16+4067.55</f>
        <v>8591.7099999999991</v>
      </c>
      <c r="G492" s="18"/>
      <c r="H492" s="18"/>
      <c r="I492" s="18"/>
      <c r="J492" s="18"/>
      <c r="K492" s="53">
        <f t="shared" si="34"/>
        <v>8591.7099999999991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105034.70000000001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105034.70000000001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164584.12+6645.5+5128+932+14489.5+13685.45</f>
        <v>205464.57</v>
      </c>
      <c r="G511" s="18">
        <f>50264.72+989.44+76.8+12192.35+3839.65+8935.98+354.35+961.13+382.09+186.87+220.5+11.04+29.95+71.67+947.83+1327.26+0.1+981.07+982.06</f>
        <v>82754.86</v>
      </c>
      <c r="H511" s="18">
        <f>5984.8+2220.59+37.08+47445.84+7940+283+340.5</f>
        <v>64251.81</v>
      </c>
      <c r="I511" s="18">
        <f>937.09+208.7+878.85+2131.55</f>
        <v>4156.1900000000005</v>
      </c>
      <c r="J511" s="18">
        <f>2974.01+22.95</f>
        <v>2996.96</v>
      </c>
      <c r="K511" s="18">
        <f>393.95</f>
        <v>393.95</v>
      </c>
      <c r="L511" s="88">
        <f>SUM(F511:K511)</f>
        <v>360018.34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77743.21+4445+2087.5+13149.33+10330.3</f>
        <v>107755.34000000001</v>
      </c>
      <c r="G512" s="18">
        <f>12967.02+245.08+38.4+6039.89+1078.45+4021.41+167.38+454+159.7+156.35+4.49+12.19+1005.87+1204.47+783.51+946.23</f>
        <v>29284.44</v>
      </c>
      <c r="H512" s="18">
        <f>2770+1431.51+25.64+134.25+21245</f>
        <v>25606.400000000001</v>
      </c>
      <c r="I512" s="18">
        <f>225.4+15.34+868.81+226.75+299.6</f>
        <v>1635.9</v>
      </c>
      <c r="J512" s="18">
        <f>63.98+153.99</f>
        <v>217.97</v>
      </c>
      <c r="K512" s="18"/>
      <c r="L512" s="88">
        <f>SUM(F512:K512)</f>
        <v>164500.04999999999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113792.4+8520+15+975</f>
        <v>123302.39999999999</v>
      </c>
      <c r="G513" s="18">
        <f>7702.8+427.34+108.8+9672.23+2003.49+6045.79+255.76+693.72+1.15+0.03+0.09+66.77+89.43</f>
        <v>27067.4</v>
      </c>
      <c r="H513" s="18">
        <f>17395.95+50+1638.99+279.24+59213.06+55665.5+593.15+713.05</f>
        <v>135548.93999999997</v>
      </c>
      <c r="I513" s="18">
        <f>861.02+488.53+681.83+221.76+299.6</f>
        <v>2552.7400000000002</v>
      </c>
      <c r="J513" s="18">
        <f>2576+1047</f>
        <v>3623</v>
      </c>
      <c r="K513" s="18"/>
      <c r="L513" s="88">
        <f>SUM(F513:K513)</f>
        <v>292094.48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436522.31000000006</v>
      </c>
      <c r="G514" s="108">
        <f t="shared" ref="G514:L514" si="35">SUM(G511:G513)</f>
        <v>139106.70000000001</v>
      </c>
      <c r="H514" s="108">
        <f t="shared" si="35"/>
        <v>225407.14999999997</v>
      </c>
      <c r="I514" s="108">
        <f t="shared" si="35"/>
        <v>8344.83</v>
      </c>
      <c r="J514" s="108">
        <f t="shared" si="35"/>
        <v>6837.93</v>
      </c>
      <c r="K514" s="108">
        <f t="shared" si="35"/>
        <v>393.95</v>
      </c>
      <c r="L514" s="89">
        <f t="shared" si="35"/>
        <v>816612.87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10070.33+13906.64+20501.26+1425</f>
        <v>45903.229999999996</v>
      </c>
      <c r="G516" s="18">
        <f>751.02+754.26+2017.18+102.96+16.92+1037.29+1041.57+29.94+81.21+5675.69+289.44+1484.45+1877.93+44.14+119.72+109.02+130.53</f>
        <v>15563.27</v>
      </c>
      <c r="H516" s="18">
        <f>3000+4212.6+180+1175.9+23421.66+1087.5+59972.5</f>
        <v>93050.16</v>
      </c>
      <c r="I516" s="18">
        <f>397+54.89+505.2+679+351.55</f>
        <v>1987.6399999999999</v>
      </c>
      <c r="J516" s="18"/>
      <c r="K516" s="18"/>
      <c r="L516" s="88">
        <f>SUM(F516:K516)</f>
        <v>156504.30000000002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6473.75+8940.09</f>
        <v>15413.84</v>
      </c>
      <c r="G517" s="18">
        <f>482.75+484.9+1296.9+66+8.04+666.88+669.52+19.25+52.21</f>
        <v>3746.4500000000003</v>
      </c>
      <c r="H517" s="18">
        <f>1350+3948.8+180+1162.5+6877.5</f>
        <v>13518.8</v>
      </c>
      <c r="I517" s="18">
        <f>190+62</f>
        <v>252</v>
      </c>
      <c r="J517" s="18"/>
      <c r="K517" s="18"/>
      <c r="L517" s="88">
        <f>SUM(F517:K517)</f>
        <v>32931.089999999997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7432.88+400+10264.31+25</f>
        <v>18122.189999999999</v>
      </c>
      <c r="G518" s="18">
        <f>554.32+556.67+15.26+14.98+1488.52+76.12+13.44+765.63+769.04+22.1+59.94+1.81+2.29</f>
        <v>4340.12</v>
      </c>
      <c r="H518" s="18">
        <f>4368.6+1092+335.95+1031.25+1802.5</f>
        <v>8630.2999999999993</v>
      </c>
      <c r="I518" s="18">
        <f>254.75+33.95</f>
        <v>288.7</v>
      </c>
      <c r="J518" s="18"/>
      <c r="K518" s="18"/>
      <c r="L518" s="88">
        <f>SUM(F518:K518)</f>
        <v>31381.309999999998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79439.259999999995</v>
      </c>
      <c r="G519" s="89">
        <f t="shared" ref="G519:L519" si="36">SUM(G516:G518)</f>
        <v>23649.84</v>
      </c>
      <c r="H519" s="89">
        <f t="shared" si="36"/>
        <v>115199.26000000001</v>
      </c>
      <c r="I519" s="89">
        <f t="shared" si="36"/>
        <v>2528.3399999999997</v>
      </c>
      <c r="J519" s="89">
        <f t="shared" si="36"/>
        <v>0</v>
      </c>
      <c r="K519" s="89">
        <f t="shared" si="36"/>
        <v>0</v>
      </c>
      <c r="L519" s="89">
        <f t="shared" si="36"/>
        <v>220816.7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23636.25</v>
      </c>
      <c r="G521" s="18">
        <v>5956.34</v>
      </c>
      <c r="H521" s="18"/>
      <c r="I521" s="18"/>
      <c r="J521" s="18"/>
      <c r="K521" s="18"/>
      <c r="L521" s="88">
        <f>SUM(F521:K521)</f>
        <v>29592.59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20771.25</v>
      </c>
      <c r="G522" s="18">
        <v>5234.3599999999997</v>
      </c>
      <c r="H522" s="18"/>
      <c r="I522" s="18"/>
      <c r="J522" s="18"/>
      <c r="K522" s="18"/>
      <c r="L522" s="88">
        <f>SUM(F522:K522)</f>
        <v>26005.61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27217.5</v>
      </c>
      <c r="G523" s="18">
        <v>6858.81</v>
      </c>
      <c r="H523" s="18"/>
      <c r="I523" s="18"/>
      <c r="J523" s="18"/>
      <c r="K523" s="18"/>
      <c r="L523" s="88">
        <f>SUM(F523:K523)</f>
        <v>34076.31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71625</v>
      </c>
      <c r="G524" s="89">
        <f t="shared" ref="G524:L524" si="37">SUM(G521:G523)</f>
        <v>18049.510000000002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89674.51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1835.75</v>
      </c>
      <c r="G531" s="18">
        <v>1667.99</v>
      </c>
      <c r="H531" s="18">
        <v>1170.1500000000001</v>
      </c>
      <c r="I531" s="18">
        <v>2345.96</v>
      </c>
      <c r="J531" s="18"/>
      <c r="K531" s="18"/>
      <c r="L531" s="88">
        <f>SUM(F531:K531)</f>
        <v>7019.8499999999995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10</v>
      </c>
      <c r="G532" s="18">
        <v>6.98</v>
      </c>
      <c r="H532" s="18"/>
      <c r="I532" s="18"/>
      <c r="J532" s="18"/>
      <c r="K532" s="18"/>
      <c r="L532" s="88">
        <f>SUM(F532:K532)</f>
        <v>16.98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75</v>
      </c>
      <c r="G533" s="18">
        <v>6.34</v>
      </c>
      <c r="H533" s="18">
        <v>6863.64</v>
      </c>
      <c r="I533" s="18">
        <v>499.86</v>
      </c>
      <c r="J533" s="18"/>
      <c r="K533" s="18"/>
      <c r="L533" s="88">
        <f>SUM(F533:K533)</f>
        <v>7444.84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1920.75</v>
      </c>
      <c r="G534" s="194">
        <f t="shared" ref="G534:L534" si="39">SUM(G531:G533)</f>
        <v>1681.31</v>
      </c>
      <c r="H534" s="194">
        <f t="shared" si="39"/>
        <v>8033.7900000000009</v>
      </c>
      <c r="I534" s="194">
        <f t="shared" si="39"/>
        <v>2845.82</v>
      </c>
      <c r="J534" s="194">
        <f t="shared" si="39"/>
        <v>0</v>
      </c>
      <c r="K534" s="194">
        <f t="shared" si="39"/>
        <v>0</v>
      </c>
      <c r="L534" s="194">
        <f t="shared" si="39"/>
        <v>14481.669999999998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589507.32000000007</v>
      </c>
      <c r="G535" s="89">
        <f t="shared" ref="G535:L535" si="40">G514+G519+G524+G529+G534</f>
        <v>182487.36000000002</v>
      </c>
      <c r="H535" s="89">
        <f t="shared" si="40"/>
        <v>348640.19999999995</v>
      </c>
      <c r="I535" s="89">
        <f t="shared" si="40"/>
        <v>13718.99</v>
      </c>
      <c r="J535" s="89">
        <f t="shared" si="40"/>
        <v>6837.93</v>
      </c>
      <c r="K535" s="89">
        <f t="shared" si="40"/>
        <v>393.95</v>
      </c>
      <c r="L535" s="89">
        <f t="shared" si="40"/>
        <v>1141585.75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360018.34</v>
      </c>
      <c r="G539" s="87">
        <f>L516</f>
        <v>156504.30000000002</v>
      </c>
      <c r="H539" s="87">
        <f>L521</f>
        <v>29592.59</v>
      </c>
      <c r="I539" s="87">
        <f>L526</f>
        <v>0</v>
      </c>
      <c r="J539" s="87">
        <f>L531</f>
        <v>7019.8499999999995</v>
      </c>
      <c r="K539" s="87">
        <f>SUM(F539:J539)</f>
        <v>553135.07999999996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164500.04999999999</v>
      </c>
      <c r="G540" s="87">
        <f>L517</f>
        <v>32931.089999999997</v>
      </c>
      <c r="H540" s="87">
        <f>L522</f>
        <v>26005.61</v>
      </c>
      <c r="I540" s="87">
        <f>L527</f>
        <v>0</v>
      </c>
      <c r="J540" s="87">
        <f>L532</f>
        <v>16.98</v>
      </c>
      <c r="K540" s="87">
        <f>SUM(F540:J540)</f>
        <v>223453.73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292094.48</v>
      </c>
      <c r="G541" s="87">
        <f>L518</f>
        <v>31381.309999999998</v>
      </c>
      <c r="H541" s="87">
        <f>L523</f>
        <v>34076.31</v>
      </c>
      <c r="I541" s="87">
        <f>L528</f>
        <v>0</v>
      </c>
      <c r="J541" s="87">
        <f>L533</f>
        <v>7444.84</v>
      </c>
      <c r="K541" s="87">
        <f>SUM(F541:J541)</f>
        <v>364996.94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816612.87</v>
      </c>
      <c r="G542" s="89">
        <f t="shared" si="41"/>
        <v>220816.7</v>
      </c>
      <c r="H542" s="89">
        <f t="shared" si="41"/>
        <v>89674.51</v>
      </c>
      <c r="I542" s="89">
        <f t="shared" si="41"/>
        <v>0</v>
      </c>
      <c r="J542" s="89">
        <f t="shared" si="41"/>
        <v>14481.669999999998</v>
      </c>
      <c r="K542" s="89">
        <f t="shared" si="41"/>
        <v>1141585.75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47445.84</f>
        <v>47445.84</v>
      </c>
      <c r="G569" s="18"/>
      <c r="H569" s="18">
        <f>7713.06</f>
        <v>7713.06</v>
      </c>
      <c r="I569" s="87">
        <f t="shared" si="46"/>
        <v>55158.899999999994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7940+283</f>
        <v>8223</v>
      </c>
      <c r="G572" s="18"/>
      <c r="H572" s="18">
        <f>55665.5</f>
        <v>55665.5</v>
      </c>
      <c r="I572" s="87">
        <f t="shared" si="46"/>
        <v>63888.5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6158.9</v>
      </c>
      <c r="I574" s="87">
        <f t="shared" si="46"/>
        <v>6158.9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4745.8+363.04+8.25+10.35+28.06+589.54+27948.5+164.23+3346.54</f>
        <v>37204.310000000005</v>
      </c>
      <c r="I581" s="18">
        <f>17966.9</f>
        <v>17966.900000000001</v>
      </c>
      <c r="J581" s="18">
        <f>60+4.59+20628.6+639.1</f>
        <v>21332.289999999997</v>
      </c>
      <c r="K581" s="104">
        <f t="shared" ref="K581:K587" si="47">SUM(H581:J581)</f>
        <v>76503.5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1835.75+1363.1+122.04+168.18+3.95+10.72+692.85+477.3+46.54+2299.42</f>
        <v>7019.8499999999995</v>
      </c>
      <c r="I582" s="18">
        <f>10+6.44+0.19+0.27+0.02+0.06</f>
        <v>16.98</v>
      </c>
      <c r="J582" s="18">
        <f>75+5.74+0.16+0.44+3470.88+3392.76+499.86</f>
        <v>7444.84</v>
      </c>
      <c r="K582" s="104">
        <f t="shared" si="47"/>
        <v>14481.669999999998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79733.68</f>
        <v>79733.679999999993</v>
      </c>
      <c r="K583" s="104">
        <f t="shared" si="47"/>
        <v>79733.679999999993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5424.2</f>
        <v>5424.2</v>
      </c>
      <c r="J584" s="18">
        <f>45+28.79+3.06+4.12+13743</f>
        <v>13823.97</v>
      </c>
      <c r="K584" s="104">
        <f t="shared" si="47"/>
        <v>19248.169999999998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2661.6</f>
        <v>2661.6</v>
      </c>
      <c r="I585" s="18">
        <f>12093.95</f>
        <v>12093.95</v>
      </c>
      <c r="J585" s="18">
        <f>3006.25</f>
        <v>3006.25</v>
      </c>
      <c r="K585" s="104">
        <f t="shared" si="47"/>
        <v>17761.800000000003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46885.760000000002</v>
      </c>
      <c r="I588" s="108">
        <f>SUM(I581:I587)</f>
        <v>35502.03</v>
      </c>
      <c r="J588" s="108">
        <f>SUM(J581:J587)</f>
        <v>125341.03</v>
      </c>
      <c r="K588" s="108">
        <f>SUM(K581:K587)</f>
        <v>207728.81999999995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16344.79+2996.96+1096+1382.04+6497.36+9768.7</f>
        <v>38085.850000000006</v>
      </c>
      <c r="I594" s="18">
        <f>1787.38+217.97+547.83+376.74+325.5</f>
        <v>3255.42</v>
      </c>
      <c r="J594" s="18">
        <f>41761.19+2576+628.99+19171.19+613.47+1496.97</f>
        <v>66247.81</v>
      </c>
      <c r="K594" s="104">
        <f>SUM(H594:J594)</f>
        <v>107589.08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38085.850000000006</v>
      </c>
      <c r="I595" s="108">
        <f>SUM(I592:I594)</f>
        <v>3255.42</v>
      </c>
      <c r="J595" s="108">
        <f>SUM(J592:J594)</f>
        <v>66247.81</v>
      </c>
      <c r="K595" s="108">
        <f>SUM(K592:K594)</f>
        <v>107589.08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5128+4200+8000</f>
        <v>17328</v>
      </c>
      <c r="G601" s="18">
        <f>382.09+186.87+220.5+11.04+29.95+920.6+569.25</f>
        <v>2320.3000000000002</v>
      </c>
      <c r="H601" s="18"/>
      <c r="I601" s="18">
        <f>168</f>
        <v>168</v>
      </c>
      <c r="J601" s="18"/>
      <c r="K601" s="18"/>
      <c r="L601" s="88">
        <f>SUM(F601:K601)</f>
        <v>19816.3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2087.5+2612.5</f>
        <v>4700</v>
      </c>
      <c r="G602" s="18">
        <f>159.7+156.35+4.49+12.19+198.06+43.06</f>
        <v>573.84999999999991</v>
      </c>
      <c r="H602" s="18"/>
      <c r="I602" s="18"/>
      <c r="J602" s="18"/>
      <c r="K602" s="18"/>
      <c r="L602" s="88">
        <f>SUM(F602:K602)</f>
        <v>5273.85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15+3000</f>
        <v>3015</v>
      </c>
      <c r="G603" s="18">
        <f>1.15+0.03+0.09+225.65+224.7</f>
        <v>451.62</v>
      </c>
      <c r="H603" s="18"/>
      <c r="I603" s="18">
        <f>712.92</f>
        <v>712.92</v>
      </c>
      <c r="J603" s="18"/>
      <c r="K603" s="18"/>
      <c r="L603" s="88">
        <f>SUM(F603:K603)</f>
        <v>4179.54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25043</v>
      </c>
      <c r="G604" s="108">
        <f t="shared" si="48"/>
        <v>3345.77</v>
      </c>
      <c r="H604" s="108">
        <f t="shared" si="48"/>
        <v>0</v>
      </c>
      <c r="I604" s="108">
        <f t="shared" si="48"/>
        <v>880.92</v>
      </c>
      <c r="J604" s="108">
        <f t="shared" si="48"/>
        <v>0</v>
      </c>
      <c r="K604" s="108">
        <f t="shared" si="48"/>
        <v>0</v>
      </c>
      <c r="L604" s="89">
        <f t="shared" si="48"/>
        <v>29269.690000000002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774286.13</v>
      </c>
      <c r="H607" s="109">
        <f>SUM(F44)</f>
        <v>774286.13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13263.619999999999</v>
      </c>
      <c r="H608" s="109">
        <f>SUM(G44)</f>
        <v>13263.619999999999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98200.95</v>
      </c>
      <c r="H609" s="109">
        <f>SUM(H44)</f>
        <v>98200.95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500004.77</v>
      </c>
      <c r="H610" s="109">
        <f>SUM(I44)</f>
        <v>500004.77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275661.17</v>
      </c>
      <c r="H611" s="109">
        <f>SUM(J44)</f>
        <v>275661.17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444128.86</v>
      </c>
      <c r="H612" s="109">
        <f>F466</f>
        <v>444128.86000000034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9043.67</v>
      </c>
      <c r="H613" s="109">
        <f>G466</f>
        <v>9043.6700000000128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8655.8100000000013</v>
      </c>
      <c r="H614" s="109">
        <f>H466</f>
        <v>8655.8099999999977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4.7699999999999996</v>
      </c>
      <c r="H615" s="109">
        <f>I466</f>
        <v>4.7699999999999996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275661.17</v>
      </c>
      <c r="H616" s="109">
        <f>J466</f>
        <v>275661.17000000004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6026819.5299999993</v>
      </c>
      <c r="H617" s="104">
        <f>SUM(F458)</f>
        <v>6026819.5300000003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171692.19</v>
      </c>
      <c r="H618" s="104">
        <f>SUM(G458)</f>
        <v>171692.19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335122.83</v>
      </c>
      <c r="H619" s="104">
        <f>SUM(H458)</f>
        <v>335122.83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4.7699999999999996</v>
      </c>
      <c r="H620" s="104">
        <f>SUM(I458)</f>
        <v>4.7699999999999996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142706.16</v>
      </c>
      <c r="H621" s="104">
        <f>SUM(J458)</f>
        <v>142706.16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5791920.3700000001</v>
      </c>
      <c r="H622" s="104">
        <f>SUM(F462)</f>
        <v>5791920.3700000001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340637.94</v>
      </c>
      <c r="H623" s="104">
        <f>SUM(H462)</f>
        <v>340637.94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1628.78</v>
      </c>
      <c r="H624" s="104">
        <f>I361</f>
        <v>1628.78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171692.19</v>
      </c>
      <c r="H625" s="104">
        <f>SUM(G462)</f>
        <v>171692.19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142706.16</v>
      </c>
      <c r="H627" s="164">
        <f>SUM(J458)</f>
        <v>142706.16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8477</v>
      </c>
      <c r="H628" s="164">
        <f>SUM(J462)</f>
        <v>8477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275661.17</v>
      </c>
      <c r="H630" s="104">
        <f>SUM(G451)</f>
        <v>275661.17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275661.17</v>
      </c>
      <c r="H632" s="104">
        <f>SUM(I451)</f>
        <v>275661.17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547.26</v>
      </c>
      <c r="H634" s="104">
        <f>H400</f>
        <v>547.2600000000001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142158.9</v>
      </c>
      <c r="H635" s="104">
        <f>G400</f>
        <v>142158.9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142706.16</v>
      </c>
      <c r="H636" s="104">
        <f>L400</f>
        <v>142706.16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207728.81999999995</v>
      </c>
      <c r="H637" s="104">
        <f>L200+L218+L236</f>
        <v>207728.82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107589.08</v>
      </c>
      <c r="H638" s="104">
        <f>(J249+J330)-(J247+J328)</f>
        <v>107589.08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46885.759999999995</v>
      </c>
      <c r="H639" s="104">
        <f>H588</f>
        <v>46885.760000000002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35502.030000000006</v>
      </c>
      <c r="H640" s="104">
        <f>I588</f>
        <v>35502.03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125341.03</v>
      </c>
      <c r="H641" s="104">
        <f>J588</f>
        <v>125341.03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13586.71</v>
      </c>
      <c r="H642" s="104">
        <f>K255+K337</f>
        <v>13586.71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142158.9</v>
      </c>
      <c r="H645" s="104">
        <f>K258+K339</f>
        <v>142158.9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2561821.2600000002</v>
      </c>
      <c r="G650" s="19">
        <f>(L221+L301+L351)</f>
        <v>1372578.44</v>
      </c>
      <c r="H650" s="19">
        <f>(L239+L320+L352)</f>
        <v>2162605.1899999995</v>
      </c>
      <c r="I650" s="19">
        <f>SUM(F650:H650)</f>
        <v>6097004.8899999997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35352.352187622513</v>
      </c>
      <c r="G651" s="19">
        <f>(L351/IF(SUM(L350:L352)=0,1,SUM(L350:L352))*(SUM(G89:G102)))</f>
        <v>22727.747942545317</v>
      </c>
      <c r="H651" s="19">
        <f>(L352/IF(SUM(L350:L352)=0,1,SUM(L350:L352))*(SUM(G89:G102)))</f>
        <v>26094.839869832173</v>
      </c>
      <c r="I651" s="19">
        <f>SUM(F651:H651)</f>
        <v>84174.94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46885.759999999995</v>
      </c>
      <c r="G652" s="19">
        <f>(L218+L298)-(J218+J298)</f>
        <v>35502.030000000006</v>
      </c>
      <c r="H652" s="19">
        <f>(L236+L317)-(J236+J317)</f>
        <v>106602.39</v>
      </c>
      <c r="I652" s="19">
        <f>SUM(F652:H652)</f>
        <v>188990.18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113570.99</v>
      </c>
      <c r="G653" s="200">
        <f>SUM(G565:G577)+SUM(I592:I594)+L602</f>
        <v>8529.27</v>
      </c>
      <c r="H653" s="200">
        <f>SUM(H565:H577)+SUM(J592:J594)+L603</f>
        <v>139964.81</v>
      </c>
      <c r="I653" s="19">
        <f>SUM(F653:H653)</f>
        <v>262065.07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2366012.1578123779</v>
      </c>
      <c r="G654" s="19">
        <f>G650-SUM(G651:G653)</f>
        <v>1305819.3920574547</v>
      </c>
      <c r="H654" s="19">
        <f>H650-SUM(H651:H653)</f>
        <v>1889943.1501301674</v>
      </c>
      <c r="I654" s="19">
        <f>I650-SUM(I651:I653)</f>
        <v>5561774.6999999993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147.56</v>
      </c>
      <c r="G655" s="249">
        <v>103.13</v>
      </c>
      <c r="H655" s="249">
        <v>100.27</v>
      </c>
      <c r="I655" s="19">
        <f>SUM(F655:H655)</f>
        <v>350.96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16034.24</v>
      </c>
      <c r="G657" s="19">
        <f>ROUND(G654/G655,2)</f>
        <v>12661.88</v>
      </c>
      <c r="H657" s="19">
        <f>ROUND(H654/H655,2)</f>
        <v>18848.54</v>
      </c>
      <c r="I657" s="19">
        <f>ROUND(I654/I655,2)</f>
        <v>15847.32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-1.38</v>
      </c>
      <c r="I660" s="19">
        <f>SUM(F660:H660)</f>
        <v>-1.38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16034.24</v>
      </c>
      <c r="G662" s="19">
        <f>ROUND((G654+G659)/(G655+G660),2)</f>
        <v>12661.88</v>
      </c>
      <c r="H662" s="19">
        <f>ROUND((H654+H659)/(H655+H660),2)</f>
        <v>19111.57</v>
      </c>
      <c r="I662" s="19">
        <f>ROUND((I654+I659)/(I655+I660),2)</f>
        <v>15909.88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CBC8-C635-4D38-A5C6-D967080B4382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Lincoln-Woodstock Cooperative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1896214.0300000003</v>
      </c>
      <c r="C9" s="230">
        <f>'DOE25'!G189+'DOE25'!G207+'DOE25'!G225+'DOE25'!G268+'DOE25'!G287+'DOE25'!G306</f>
        <v>705250.75</v>
      </c>
    </row>
    <row r="10" spans="1:3" x14ac:dyDescent="0.2">
      <c r="A10" t="s">
        <v>813</v>
      </c>
      <c r="B10" s="241">
        <f>762405.3+391962.09+609376.14+51768.58+21991.92+1000+1250</f>
        <v>1839754.0300000003</v>
      </c>
      <c r="C10" s="241">
        <f>604.4+200+79.7+93.62+196267.53+4323.36+576+290.99+60123.07+36.64+62705.61+1641.45+4452.25+99160.37+2320.3+259.2+181.56+30326.62+206.1+29429.2+849.27+2303.56+107680.69+2742.8+531.2+217.45+48233.16+980.12+43464.04+1338.89+3631.6-4319.19</f>
        <v>700931.56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f>19600+8535+28325</f>
        <v>56460</v>
      </c>
      <c r="C12" s="241">
        <v>4319.1899999999996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1896214.0300000003</v>
      </c>
      <c r="C13" s="232">
        <f>SUM(C10:C12)</f>
        <v>705250.75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436522.31</v>
      </c>
      <c r="C18" s="230">
        <f>'DOE25'!G190+'DOE25'!G208+'DOE25'!G226+'DOE25'!G269+'DOE25'!G288+'DOE25'!G307</f>
        <v>139106.69999999998</v>
      </c>
    </row>
    <row r="19" spans="1:3" x14ac:dyDescent="0.2">
      <c r="A19" t="s">
        <v>813</v>
      </c>
      <c r="B19" s="241">
        <f>164584.12+77743.21+113792.4-107405.73+5128+2087.5+15</f>
        <v>255944.5</v>
      </c>
      <c r="C19" s="241">
        <f>50264.72+989.44+76.8+12192.35+8935.98+354.35+961.13+12967.02+245.08+38.4+6039.89+4021.41+167.38+454+7202.8+427.34+108.8+9672.23+6045.79+255.76+693.72+382.09+220.5+11.04+29.95+159.7+156.35+4.49+12.19+1.15+0.03+0.09-1500.2-10330.91-39730+500</f>
        <v>72030.86</v>
      </c>
    </row>
    <row r="20" spans="1:3" x14ac:dyDescent="0.2">
      <c r="A20" t="s">
        <v>814</v>
      </c>
      <c r="B20" s="241">
        <f>107405.73+14489.5+13149.33+13685.45+10330.3+975</f>
        <v>160035.31</v>
      </c>
      <c r="C20" s="241">
        <f>947.83+1327.26+1005.87+1204.47+0.1+981.07+982.06+783.51+946.23+66.77+89.43+3839.65+1078.45+2003.49+186.87+10330.91+39730</f>
        <v>65503.97</v>
      </c>
    </row>
    <row r="21" spans="1:3" x14ac:dyDescent="0.2">
      <c r="A21" t="s">
        <v>815</v>
      </c>
      <c r="B21" s="241">
        <f>6645.5+4445+8520+932</f>
        <v>20542.5</v>
      </c>
      <c r="C21" s="241">
        <f>71.67+1500.2</f>
        <v>1571.8700000000001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436522.31</v>
      </c>
      <c r="C22" s="232">
        <f>SUM(C19:C21)</f>
        <v>139106.70000000001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5000</v>
      </c>
      <c r="C27" s="235">
        <f>'DOE25'!G191+'DOE25'!G209+'DOE25'!G227+'DOE25'!G270+'DOE25'!G289+'DOE25'!G308</f>
        <v>422.46</v>
      </c>
    </row>
    <row r="28" spans="1:3" x14ac:dyDescent="0.2">
      <c r="A28" t="s">
        <v>813</v>
      </c>
      <c r="B28" s="241">
        <v>5000</v>
      </c>
      <c r="C28" s="241">
        <v>422.46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5000</v>
      </c>
      <c r="C31" s="232">
        <f>SUM(C28:C30)</f>
        <v>422.46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82108.5</v>
      </c>
      <c r="C36" s="236">
        <f>'DOE25'!G192+'DOE25'!G210+'DOE25'!G228+'DOE25'!G271+'DOE25'!G290+'DOE25'!G309</f>
        <v>9689.16</v>
      </c>
    </row>
    <row r="37" spans="1:3" x14ac:dyDescent="0.2">
      <c r="A37" t="s">
        <v>813</v>
      </c>
      <c r="B37" s="241">
        <f>8000+4200+2612.5+3000+2587.5+3000</f>
        <v>23400</v>
      </c>
      <c r="C37" s="241">
        <f>920.6+569.25+198.06+43.06+225.65+224.7+191.48+193.79</f>
        <v>2566.5899999999997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889+9734+48085.5</f>
        <v>58708.5</v>
      </c>
      <c r="C39" s="241">
        <f>66.41+66.59+743.06+108.27+248.96+22.87+62.03+3639.51+103.69+1021.84+103.53+280.81+655</f>
        <v>7122.57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82108.5</v>
      </c>
      <c r="C40" s="232">
        <f>SUM(C37:C39)</f>
        <v>9689.16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5108-7481-4C9D-B91D-E25859906BEA}">
  <sheetPr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Lincoln-Woodstock Cooperative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3574906.54</v>
      </c>
      <c r="D5" s="20">
        <f>SUM('DOE25'!L189:L192)+SUM('DOE25'!L207:L210)+SUM('DOE25'!L225:L228)-F5-G5</f>
        <v>3498167.3</v>
      </c>
      <c r="E5" s="244"/>
      <c r="F5" s="256">
        <f>SUM('DOE25'!J189:J192)+SUM('DOE25'!J207:J210)+SUM('DOE25'!J225:J228)</f>
        <v>65684.290000000008</v>
      </c>
      <c r="G5" s="53">
        <f>SUM('DOE25'!K189:K192)+SUM('DOE25'!K207:K210)+SUM('DOE25'!K225:K228)</f>
        <v>11054.95</v>
      </c>
      <c r="H5" s="260"/>
    </row>
    <row r="6" spans="1:9" x14ac:dyDescent="0.2">
      <c r="A6" s="32">
        <v>2100</v>
      </c>
      <c r="B6" t="s">
        <v>835</v>
      </c>
      <c r="C6" s="246">
        <f t="shared" si="0"/>
        <v>434796.82999999996</v>
      </c>
      <c r="D6" s="20">
        <f>'DOE25'!L194+'DOE25'!L212+'DOE25'!L230-F6-G6</f>
        <v>434426.82999999996</v>
      </c>
      <c r="E6" s="244"/>
      <c r="F6" s="256">
        <f>'DOE25'!J194+'DOE25'!J212+'DOE25'!J230</f>
        <v>0</v>
      </c>
      <c r="G6" s="53">
        <f>'DOE25'!K194+'DOE25'!K212+'DOE25'!K230</f>
        <v>370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158529.18</v>
      </c>
      <c r="D7" s="20">
        <f>'DOE25'!L195+'DOE25'!L213+'DOE25'!L231-F7-G7</f>
        <v>158165.35999999999</v>
      </c>
      <c r="E7" s="244"/>
      <c r="F7" s="256">
        <f>'DOE25'!J195+'DOE25'!J213+'DOE25'!J231</f>
        <v>243.82</v>
      </c>
      <c r="G7" s="53">
        <f>'DOE25'!K195+'DOE25'!K213+'DOE25'!K231</f>
        <v>120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333224.92999999993</v>
      </c>
      <c r="D8" s="244"/>
      <c r="E8" s="20">
        <f>'DOE25'!L196+'DOE25'!L214+'DOE25'!L232-F8-G8-D9-D11</f>
        <v>323198.06999999995</v>
      </c>
      <c r="F8" s="256">
        <f>'DOE25'!J196+'DOE25'!J214+'DOE25'!J232</f>
        <v>2029</v>
      </c>
      <c r="G8" s="53">
        <f>'DOE25'!K196+'DOE25'!K214+'DOE25'!K232</f>
        <v>7997.8599999999988</v>
      </c>
      <c r="H8" s="260"/>
    </row>
    <row r="9" spans="1:9" x14ac:dyDescent="0.2">
      <c r="A9" s="32">
        <v>2310</v>
      </c>
      <c r="B9" t="s">
        <v>852</v>
      </c>
      <c r="C9" s="246">
        <f t="shared" si="0"/>
        <v>19380.32</v>
      </c>
      <c r="D9" s="245">
        <f>18192.67+1187.65</f>
        <v>19380.32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8680.5</v>
      </c>
      <c r="D10" s="244"/>
      <c r="E10" s="245">
        <v>8680.5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159738.06</v>
      </c>
      <c r="D11" s="245">
        <f>122523.37+37214.69</f>
        <v>159738.06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325273.58</v>
      </c>
      <c r="D12" s="20">
        <f>'DOE25'!L197+'DOE25'!L215+'DOE25'!L233-F12-G12</f>
        <v>318862.21000000002</v>
      </c>
      <c r="E12" s="244"/>
      <c r="F12" s="256">
        <f>'DOE25'!J197+'DOE25'!J215+'DOE25'!J233</f>
        <v>796</v>
      </c>
      <c r="G12" s="53">
        <f>'DOE25'!K197+'DOE25'!K215+'DOE25'!K233</f>
        <v>5615.37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370396.5</v>
      </c>
      <c r="D14" s="20">
        <f>'DOE25'!L199+'DOE25'!L217+'DOE25'!L235-F14-G14</f>
        <v>352107.17</v>
      </c>
      <c r="E14" s="244"/>
      <c r="F14" s="256">
        <f>'DOE25'!J199+'DOE25'!J217+'DOE25'!J235</f>
        <v>1395.33</v>
      </c>
      <c r="G14" s="53">
        <f>'DOE25'!K199+'DOE25'!K217+'DOE25'!K235</f>
        <v>16894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207728.82</v>
      </c>
      <c r="D15" s="20">
        <f>'DOE25'!L200+'DOE25'!L218+'DOE25'!L236-F15-G15</f>
        <v>188990.18</v>
      </c>
      <c r="E15" s="244"/>
      <c r="F15" s="256">
        <f>'DOE25'!J200+'DOE25'!J218+'DOE25'!J236</f>
        <v>18738.64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700</v>
      </c>
      <c r="D16" s="244"/>
      <c r="E16" s="20">
        <f>'DOE25'!L201+'DOE25'!L219+'DOE25'!L237-F16-G16</f>
        <v>700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171692.19</v>
      </c>
      <c r="D29" s="20">
        <f>'DOE25'!L350+'DOE25'!L351+'DOE25'!L352-'DOE25'!I359-F29-G29</f>
        <v>171692.19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340637.94</v>
      </c>
      <c r="D31" s="20">
        <f>'DOE25'!L282+'DOE25'!L301+'DOE25'!L320+'DOE25'!L325+'DOE25'!L326+'DOE25'!L327-F31-G31</f>
        <v>321817.96000000002</v>
      </c>
      <c r="E31" s="244"/>
      <c r="F31" s="256">
        <f>'DOE25'!J282+'DOE25'!J301+'DOE25'!J320+'DOE25'!J325+'DOE25'!J326+'DOE25'!J327</f>
        <v>18701.999999999996</v>
      </c>
      <c r="G31" s="53">
        <f>'DOE25'!K282+'DOE25'!K301+'DOE25'!K320+'DOE25'!K325+'DOE25'!K326+'DOE25'!K327</f>
        <v>117.98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5623347.5799999991</v>
      </c>
      <c r="E33" s="247">
        <f>SUM(E5:E31)</f>
        <v>332578.56999999995</v>
      </c>
      <c r="F33" s="247">
        <f>SUM(F5:F31)</f>
        <v>107589.08000000002</v>
      </c>
      <c r="G33" s="247">
        <f>SUM(G5:G31)</f>
        <v>42170.159999999996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332578.56999999995</v>
      </c>
      <c r="E35" s="250"/>
    </row>
    <row r="36" spans="2:8" ht="12" thickTop="1" x14ac:dyDescent="0.2">
      <c r="B36" t="s">
        <v>849</v>
      </c>
      <c r="D36" s="20">
        <f>D33</f>
        <v>5623347.5799999991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38B2-BEA3-4E40-AD89-5D41419884A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Cooperative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658019</v>
      </c>
      <c r="D9" s="95">
        <f>'DOE25'!G9</f>
        <v>0</v>
      </c>
      <c r="E9" s="95">
        <f>'DOE25'!H9</f>
        <v>0</v>
      </c>
      <c r="F9" s="95">
        <f>'DOE25'!I9</f>
        <v>497504.77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275661.17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104240.04</v>
      </c>
      <c r="D12" s="95">
        <f>'DOE25'!G12</f>
        <v>9675.64</v>
      </c>
      <c r="E12" s="95">
        <f>'DOE25'!H12</f>
        <v>26239.89</v>
      </c>
      <c r="F12" s="95">
        <f>'DOE25'!I12</f>
        <v>2500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3587.98</v>
      </c>
      <c r="E13" s="95">
        <f>'DOE25'!H13</f>
        <v>71961.06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12027.09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774286.13</v>
      </c>
      <c r="D19" s="41">
        <f>SUM(D9:D18)</f>
        <v>13263.619999999999</v>
      </c>
      <c r="E19" s="41">
        <f>SUM(E9:E18)</f>
        <v>98200.95</v>
      </c>
      <c r="F19" s="41">
        <f>SUM(F9:F18)</f>
        <v>500004.77</v>
      </c>
      <c r="G19" s="41">
        <f>SUM(G9:G18)</f>
        <v>275661.17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66104.37</v>
      </c>
      <c r="D22" s="95">
        <f>'DOE25'!G23</f>
        <v>0</v>
      </c>
      <c r="E22" s="95">
        <f>'DOE25'!H23</f>
        <v>89545.14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21912.87</v>
      </c>
      <c r="D24" s="95">
        <f>'DOE25'!G25</f>
        <v>4219.95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500000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242140.03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330157.27</v>
      </c>
      <c r="D32" s="41">
        <f>SUM(D22:D31)</f>
        <v>4219.95</v>
      </c>
      <c r="E32" s="41">
        <f>SUM(E22:E31)</f>
        <v>89545.14</v>
      </c>
      <c r="F32" s="41">
        <f>SUM(F22:F31)</f>
        <v>500000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23486.42</v>
      </c>
      <c r="D36" s="95">
        <f>'DOE25'!G37</f>
        <v>0</v>
      </c>
      <c r="E36" s="95">
        <f>'DOE25'!H37</f>
        <v>189.95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9043.67</v>
      </c>
      <c r="E40" s="95">
        <f>'DOE25'!H41</f>
        <v>8465.86</v>
      </c>
      <c r="F40" s="95">
        <f>'DOE25'!I41</f>
        <v>4.7699999999999996</v>
      </c>
      <c r="G40" s="95">
        <f>'DOE25'!J41</f>
        <v>275661.17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170642.44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444128.86</v>
      </c>
      <c r="D42" s="41">
        <f>SUM(D34:D41)</f>
        <v>9043.67</v>
      </c>
      <c r="E42" s="41">
        <f>SUM(E34:E41)</f>
        <v>8655.8100000000013</v>
      </c>
      <c r="F42" s="41">
        <f>SUM(F34:F41)</f>
        <v>4.7699999999999996</v>
      </c>
      <c r="G42" s="41">
        <f>SUM(G34:G41)</f>
        <v>275661.17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774286.13</v>
      </c>
      <c r="D43" s="41">
        <f>D42+D32</f>
        <v>13263.619999999999</v>
      </c>
      <c r="E43" s="41">
        <f>E42+E32</f>
        <v>98200.95</v>
      </c>
      <c r="F43" s="41">
        <f>F42+F32</f>
        <v>500004.77</v>
      </c>
      <c r="G43" s="41">
        <f>G42+G32</f>
        <v>275661.17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3104142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2127.64</v>
      </c>
      <c r="D51" s="95">
        <f>'DOE25'!G88</f>
        <v>0</v>
      </c>
      <c r="E51" s="95">
        <f>'DOE25'!H88</f>
        <v>0</v>
      </c>
      <c r="F51" s="95">
        <f>'DOE25'!I88</f>
        <v>4.7699999999999996</v>
      </c>
      <c r="G51" s="95">
        <f>'DOE25'!J88</f>
        <v>547.26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84174.94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18641.150000000001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20768.79</v>
      </c>
      <c r="D54" s="130">
        <f>SUM(D49:D53)</f>
        <v>84174.94</v>
      </c>
      <c r="E54" s="130">
        <f>SUM(E49:E53)</f>
        <v>0</v>
      </c>
      <c r="F54" s="130">
        <f>SUM(F49:F53)</f>
        <v>4.7699999999999996</v>
      </c>
      <c r="G54" s="130">
        <f>SUM(G49:G53)</f>
        <v>547.26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3124910.79</v>
      </c>
      <c r="D55" s="22">
        <f>D48+D54</f>
        <v>84174.94</v>
      </c>
      <c r="E55" s="22">
        <f>E48+E54</f>
        <v>0</v>
      </c>
      <c r="F55" s="22">
        <f>F48+F54</f>
        <v>4.7699999999999996</v>
      </c>
      <c r="G55" s="22">
        <f>G48+G54</f>
        <v>547.26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258023.76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2390407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98997.24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2747428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17288.03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7201.28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2100</v>
      </c>
      <c r="D69" s="95">
        <f>SUM('DOE25'!G123:G127)</f>
        <v>1535.53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26589.309999999998</v>
      </c>
      <c r="D70" s="130">
        <f>SUM(D64:D69)</f>
        <v>1535.53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2774017.31</v>
      </c>
      <c r="D73" s="130">
        <f>SUM(D71:D72)+D70+D62</f>
        <v>1535.53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10000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56757.37</v>
      </c>
      <c r="D80" s="95">
        <f>SUM('DOE25'!G145:G153)</f>
        <v>72395.010000000009</v>
      </c>
      <c r="E80" s="95">
        <f>SUM('DOE25'!H145:H153)</f>
        <v>325122.83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71134.06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127891.43</v>
      </c>
      <c r="D83" s="131">
        <f>SUM(D77:D82)</f>
        <v>72395.010000000009</v>
      </c>
      <c r="E83" s="131">
        <f>SUM(E77:E82)</f>
        <v>335122.83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13586.71</v>
      </c>
      <c r="E88" s="95">
        <f>'DOE25'!H171</f>
        <v>0</v>
      </c>
      <c r="F88" s="95">
        <f>'DOE25'!I171</f>
        <v>0</v>
      </c>
      <c r="G88" s="95">
        <f>'DOE25'!J171</f>
        <v>142158.9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13586.71</v>
      </c>
      <c r="E95" s="86">
        <f>SUM(E85:E94)</f>
        <v>0</v>
      </c>
      <c r="F95" s="86">
        <f>SUM(F85:F94)</f>
        <v>0</v>
      </c>
      <c r="G95" s="86">
        <f>SUM(G85:G94)</f>
        <v>142158.9</v>
      </c>
    </row>
    <row r="96" spans="1:7" ht="12.75" thickTop="1" thickBot="1" x14ac:dyDescent="0.25">
      <c r="A96" s="33" t="s">
        <v>797</v>
      </c>
      <c r="C96" s="86">
        <f>C55+C73+C83+C95</f>
        <v>6026819.5299999993</v>
      </c>
      <c r="D96" s="86">
        <f>D55+D73+D83+D95</f>
        <v>171692.19</v>
      </c>
      <c r="E96" s="86">
        <f>E55+E73+E83+E95</f>
        <v>335122.83</v>
      </c>
      <c r="F96" s="86">
        <f>F55+F73+F83+F95</f>
        <v>4.7699999999999996</v>
      </c>
      <c r="G96" s="86">
        <f>G55+G73+G95</f>
        <v>142706.16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2768035.1800000006</v>
      </c>
      <c r="D101" s="24" t="s">
        <v>312</v>
      </c>
      <c r="E101" s="95">
        <f>('DOE25'!L268)+('DOE25'!L287)+('DOE25'!L306)</f>
        <v>99294.239999999991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681333.41</v>
      </c>
      <c r="D102" s="24" t="s">
        <v>312</v>
      </c>
      <c r="E102" s="95">
        <f>('DOE25'!L269)+('DOE25'!L288)+('DOE25'!L307)</f>
        <v>86990.6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11617.960000000001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113919.98999999999</v>
      </c>
      <c r="D104" s="24" t="s">
        <v>312</v>
      </c>
      <c r="E104" s="95">
        <f>+('DOE25'!L271)+('DOE25'!L290)+('DOE25'!L309)</f>
        <v>11000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3574906.540000001</v>
      </c>
      <c r="D107" s="86">
        <f>SUM(D101:D106)</f>
        <v>0</v>
      </c>
      <c r="E107" s="86">
        <f>SUM(E101:E106)</f>
        <v>197284.84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434796.82999999996</v>
      </c>
      <c r="D110" s="24" t="s">
        <v>312</v>
      </c>
      <c r="E110" s="95">
        <f>+('DOE25'!L273)+('DOE25'!L292)+('DOE25'!L311)</f>
        <v>104644.09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158529.18</v>
      </c>
      <c r="D111" s="24" t="s">
        <v>312</v>
      </c>
      <c r="E111" s="95">
        <f>+('DOE25'!L274)+('DOE25'!L293)+('DOE25'!L312)</f>
        <v>38709.01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512343.30999999994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325273.58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370396.5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207728.82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700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171692.19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2009768.22</v>
      </c>
      <c r="D120" s="86">
        <f>SUM(D110:D119)</f>
        <v>171692.19</v>
      </c>
      <c r="E120" s="86">
        <f>SUM(E110:E119)</f>
        <v>143353.1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13586.71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142706.16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-547.26000000000931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51500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207245.61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5791920.370000001</v>
      </c>
      <c r="D137" s="86">
        <f>(D107+D120+D136)</f>
        <v>171692.19</v>
      </c>
      <c r="E137" s="86">
        <f>(E107+E120+E136)</f>
        <v>340637.94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06/15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1.78E-2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500000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500000</v>
      </c>
    </row>
    <row r="152" spans="1:7" x14ac:dyDescent="0.2">
      <c r="A152" s="22" t="s">
        <v>36</v>
      </c>
      <c r="B152" s="137">
        <f>'DOE25'!F489</f>
        <v>25173.42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25173.42</v>
      </c>
    </row>
    <row r="153" spans="1:7" x14ac:dyDescent="0.2">
      <c r="A153" s="22" t="s">
        <v>37</v>
      </c>
      <c r="B153" s="137">
        <f>'DOE25'!F490</f>
        <v>525173.42000000004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525173.42000000004</v>
      </c>
    </row>
    <row r="154" spans="1:7" x14ac:dyDescent="0.2">
      <c r="A154" s="22" t="s">
        <v>38</v>
      </c>
      <c r="B154" s="137">
        <f>'DOE25'!F491</f>
        <v>96442.99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96442.99</v>
      </c>
    </row>
    <row r="155" spans="1:7" x14ac:dyDescent="0.2">
      <c r="A155" s="22" t="s">
        <v>39</v>
      </c>
      <c r="B155" s="137">
        <f>'DOE25'!F492</f>
        <v>8591.7099999999991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8591.7099999999991</v>
      </c>
    </row>
    <row r="156" spans="1:7" x14ac:dyDescent="0.2">
      <c r="A156" s="22" t="s">
        <v>269</v>
      </c>
      <c r="B156" s="137">
        <f>'DOE25'!F493</f>
        <v>105034.70000000001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105034.70000000001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B7A-BD29-4180-8A22-9AC8351BFF0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Lincoln-Woodstock Cooperative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16034</v>
      </c>
    </row>
    <row r="5" spans="1:4" x14ac:dyDescent="0.2">
      <c r="B5" t="s">
        <v>735</v>
      </c>
      <c r="C5" s="179">
        <f>IF('DOE25'!G655+'DOE25'!G660=0,0,ROUND('DOE25'!G662,0))</f>
        <v>12662</v>
      </c>
    </row>
    <row r="6" spans="1:4" x14ac:dyDescent="0.2">
      <c r="B6" t="s">
        <v>62</v>
      </c>
      <c r="C6" s="179">
        <f>IF('DOE25'!H655+'DOE25'!H660=0,0,ROUND('DOE25'!H662,0))</f>
        <v>19112</v>
      </c>
    </row>
    <row r="7" spans="1:4" x14ac:dyDescent="0.2">
      <c r="B7" t="s">
        <v>736</v>
      </c>
      <c r="C7" s="179">
        <f>IF('DOE25'!I655+'DOE25'!I660=0,0,ROUND('DOE25'!I662,0))</f>
        <v>15910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2867329</v>
      </c>
      <c r="D10" s="182">
        <f>ROUND((C10/$C$28)*100,1)</f>
        <v>47.3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768324</v>
      </c>
      <c r="D11" s="182">
        <f>ROUND((C11/$C$28)*100,1)</f>
        <v>12.7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11618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124920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539441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197238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513043</v>
      </c>
      <c r="D17" s="182">
        <f t="shared" si="0"/>
        <v>8.5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325274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370397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207729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51500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87517.06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6064330.0599999996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6064330.0599999996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3104142</v>
      </c>
      <c r="D35" s="182">
        <f t="shared" ref="D35:D40" si="1">ROUND((C35/$C$41)*100,1)</f>
        <v>48.2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21320.819999999832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2648431</v>
      </c>
      <c r="D37" s="182">
        <f t="shared" si="1"/>
        <v>41.1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127122</v>
      </c>
      <c r="D38" s="182">
        <f t="shared" si="1"/>
        <v>2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535409</v>
      </c>
      <c r="D39" s="182">
        <f t="shared" si="1"/>
        <v>8.3000000000000007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6436424.8200000003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B023-6C56-43AB-91E9-9A76239C59F2}">
  <sheetPr>
    <tabColor indexed="17"/>
  </sheetPr>
  <dimension ref="A1:IV90"/>
  <sheetViews>
    <sheetView workbookViewId="0">
      <pane ySplit="3" topLeftCell="A4" activePane="bottomLeft" state="frozen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Lincoln-Woodstock Cooperative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10</v>
      </c>
      <c r="B4" s="220">
        <v>15</v>
      </c>
      <c r="C4" s="280" t="s">
        <v>896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5</v>
      </c>
      <c r="B6" s="220">
        <v>2</v>
      </c>
      <c r="C6" s="280" t="s">
        <v>897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2010-09-03T14:19:29Z</cp:lastPrinted>
  <dcterms:created xsi:type="dcterms:W3CDTF">1997-12-04T19:04:30Z</dcterms:created>
  <dcterms:modified xsi:type="dcterms:W3CDTF">2025-01-02T14:51:29Z</dcterms:modified>
</cp:coreProperties>
</file>