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3C6DF37-A589-4FF2-9087-136EDA69DA08}" xr6:coauthVersionLast="47" xr6:coauthVersionMax="47" xr10:uidLastSave="{00000000-0000-0000-0000-000000000000}"/>
  <workbookProtection workbookPassword="B70A" lockStructure="1"/>
  <bookViews>
    <workbookView xWindow="3630" yWindow="3630" windowWidth="21600" windowHeight="11505" tabRatio="855" xr2:uid="{5E0E5B52-D0CD-4FAE-B379-C610B43AAB7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L191" i="1"/>
  <c r="C103" i="2" s="1"/>
  <c r="L192" i="1"/>
  <c r="L207" i="1"/>
  <c r="L208" i="1"/>
  <c r="L209" i="1"/>
  <c r="L210" i="1"/>
  <c r="L225" i="1"/>
  <c r="L226" i="1"/>
  <c r="L239" i="1" s="1"/>
  <c r="L227" i="1"/>
  <c r="L228" i="1"/>
  <c r="F6" i="13"/>
  <c r="G6" i="13"/>
  <c r="G33" i="13" s="1"/>
  <c r="L194" i="1"/>
  <c r="D6" i="13" s="1"/>
  <c r="C6" i="13" s="1"/>
  <c r="L212" i="1"/>
  <c r="C15" i="10" s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C113" i="2" s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21" i="10" s="1"/>
  <c r="L218" i="1"/>
  <c r="G640" i="1" s="1"/>
  <c r="L236" i="1"/>
  <c r="H652" i="1" s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C10" i="10" s="1"/>
  <c r="L269" i="1"/>
  <c r="L270" i="1"/>
  <c r="L271" i="1"/>
  <c r="L273" i="1"/>
  <c r="L274" i="1"/>
  <c r="L275" i="1"/>
  <c r="E112" i="2" s="1"/>
  <c r="L276" i="1"/>
  <c r="L277" i="1"/>
  <c r="L278" i="1"/>
  <c r="L279" i="1"/>
  <c r="L280" i="1"/>
  <c r="E117" i="2" s="1"/>
  <c r="L282" i="1"/>
  <c r="L287" i="1"/>
  <c r="L288" i="1"/>
  <c r="L301" i="1" s="1"/>
  <c r="L289" i="1"/>
  <c r="L290" i="1"/>
  <c r="L292" i="1"/>
  <c r="L293" i="1"/>
  <c r="E111" i="2" s="1"/>
  <c r="L294" i="1"/>
  <c r="L295" i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E115" i="2" s="1"/>
  <c r="L317" i="1"/>
  <c r="E116" i="2" s="1"/>
  <c r="L318" i="1"/>
  <c r="L325" i="1"/>
  <c r="E106" i="2" s="1"/>
  <c r="L326" i="1"/>
  <c r="L327" i="1"/>
  <c r="L252" i="1"/>
  <c r="L253" i="1"/>
  <c r="C124" i="2" s="1"/>
  <c r="L333" i="1"/>
  <c r="C32" i="10" s="1"/>
  <c r="L334" i="1"/>
  <c r="L247" i="1"/>
  <c r="C29" i="10" s="1"/>
  <c r="L328" i="1"/>
  <c r="F22" i="13"/>
  <c r="C22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51" i="2"/>
  <c r="G54" i="2" s="1"/>
  <c r="G53" i="2"/>
  <c r="F2" i="11"/>
  <c r="L603" i="1"/>
  <c r="H653" i="1"/>
  <c r="L602" i="1"/>
  <c r="G653" i="1" s="1"/>
  <c r="L601" i="1"/>
  <c r="F653" i="1" s="1"/>
  <c r="C40" i="10"/>
  <c r="F52" i="1"/>
  <c r="F104" i="1" s="1"/>
  <c r="G52" i="1"/>
  <c r="D48" i="2" s="1"/>
  <c r="H52" i="1"/>
  <c r="I52" i="1"/>
  <c r="F71" i="1"/>
  <c r="F86" i="1"/>
  <c r="C50" i="2" s="1"/>
  <c r="F103" i="1"/>
  <c r="G103" i="1"/>
  <c r="G104" i="1" s="1"/>
  <c r="H71" i="1"/>
  <c r="E49" i="2" s="1"/>
  <c r="E54" i="2" s="1"/>
  <c r="E55" i="2" s="1"/>
  <c r="H86" i="1"/>
  <c r="H103" i="1"/>
  <c r="I103" i="1"/>
  <c r="I104" i="1"/>
  <c r="J103" i="1"/>
  <c r="J104" i="1"/>
  <c r="C37" i="10"/>
  <c r="F113" i="1"/>
  <c r="F128" i="1"/>
  <c r="F132" i="1"/>
  <c r="C38" i="10" s="1"/>
  <c r="G113" i="1"/>
  <c r="G132" i="1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61" i="1" s="1"/>
  <c r="I154" i="1"/>
  <c r="C13" i="10"/>
  <c r="L242" i="1"/>
  <c r="C105" i="2" s="1"/>
  <c r="L324" i="1"/>
  <c r="C23" i="10"/>
  <c r="L246" i="1"/>
  <c r="L260" i="1"/>
  <c r="L261" i="1"/>
  <c r="L341" i="1"/>
  <c r="L342" i="1"/>
  <c r="E135" i="2" s="1"/>
  <c r="C26" i="10"/>
  <c r="I655" i="1"/>
  <c r="I660" i="1"/>
  <c r="I659" i="1"/>
  <c r="C42" i="10"/>
  <c r="L366" i="1"/>
  <c r="L367" i="1"/>
  <c r="L368" i="1"/>
  <c r="L369" i="1"/>
  <c r="L370" i="1"/>
  <c r="L371" i="1"/>
  <c r="F122" i="2" s="1"/>
  <c r="F136" i="2" s="1"/>
  <c r="L372" i="1"/>
  <c r="L374" i="1" s="1"/>
  <c r="G626" i="1" s="1"/>
  <c r="J626" i="1" s="1"/>
  <c r="B2" i="10"/>
  <c r="L336" i="1"/>
  <c r="L337" i="1"/>
  <c r="E127" i="2" s="1"/>
  <c r="L338" i="1"/>
  <c r="L339" i="1"/>
  <c r="K343" i="1"/>
  <c r="L511" i="1"/>
  <c r="F539" i="1"/>
  <c r="L512" i="1"/>
  <c r="F540" i="1" s="1"/>
  <c r="K540" i="1" s="1"/>
  <c r="L513" i="1"/>
  <c r="F541" i="1" s="1"/>
  <c r="K541" i="1" s="1"/>
  <c r="L516" i="1"/>
  <c r="G539" i="1" s="1"/>
  <c r="G542" i="1" s="1"/>
  <c r="L517" i="1"/>
  <c r="L519" i="1" s="1"/>
  <c r="G540" i="1"/>
  <c r="L518" i="1"/>
  <c r="G541" i="1"/>
  <c r="L521" i="1"/>
  <c r="H539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19" i="2"/>
  <c r="C22" i="2"/>
  <c r="D22" i="2"/>
  <c r="E22" i="2"/>
  <c r="F22" i="2"/>
  <c r="I440" i="1"/>
  <c r="J23" i="1" s="1"/>
  <c r="C23" i="2"/>
  <c r="C32" i="2" s="1"/>
  <c r="D23" i="2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E48" i="2"/>
  <c r="F48" i="2"/>
  <c r="C49" i="2"/>
  <c r="C54" i="2" s="1"/>
  <c r="E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59" i="2"/>
  <c r="C62" i="2" s="1"/>
  <c r="C61" i="2"/>
  <c r="D61" i="2"/>
  <c r="D62" i="2" s="1"/>
  <c r="E61" i="2"/>
  <c r="E62" i="2" s="1"/>
  <c r="F61" i="2"/>
  <c r="G61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E70" i="2" s="1"/>
  <c r="F69" i="2"/>
  <c r="G69" i="2"/>
  <c r="G70" i="2" s="1"/>
  <c r="G73" i="2" s="1"/>
  <c r="C70" i="2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C95" i="2"/>
  <c r="G95" i="2"/>
  <c r="C102" i="2"/>
  <c r="E102" i="2"/>
  <c r="E103" i="2"/>
  <c r="C104" i="2"/>
  <c r="E104" i="2"/>
  <c r="E105" i="2"/>
  <c r="D107" i="2"/>
  <c r="F107" i="2"/>
  <c r="G107" i="2"/>
  <c r="C110" i="2"/>
  <c r="E110" i="2"/>
  <c r="C112" i="2"/>
  <c r="E113" i="2"/>
  <c r="E114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C156" i="2"/>
  <c r="H493" i="1"/>
  <c r="D156" i="2" s="1"/>
  <c r="I493" i="1"/>
  <c r="E156" i="2" s="1"/>
  <c r="J493" i="1"/>
  <c r="K493" i="1" s="1"/>
  <c r="F156" i="2"/>
  <c r="F19" i="1"/>
  <c r="G607" i="1" s="1"/>
  <c r="G19" i="1"/>
  <c r="G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G44" i="1"/>
  <c r="H608" i="1" s="1"/>
  <c r="F169" i="1"/>
  <c r="I169" i="1"/>
  <c r="F175" i="1"/>
  <c r="F184" i="1" s="1"/>
  <c r="G175" i="1"/>
  <c r="H175" i="1"/>
  <c r="I175" i="1"/>
  <c r="J175" i="1"/>
  <c r="J184" i="1" s="1"/>
  <c r="J185" i="1" s="1"/>
  <c r="F180" i="1"/>
  <c r="G180" i="1"/>
  <c r="G184" i="1" s="1"/>
  <c r="H180" i="1"/>
  <c r="I180" i="1"/>
  <c r="H184" i="1"/>
  <c r="I184" i="1"/>
  <c r="F203" i="1"/>
  <c r="F249" i="1" s="1"/>
  <c r="F263" i="1" s="1"/>
  <c r="G203" i="1"/>
  <c r="H203" i="1"/>
  <c r="H249" i="1" s="1"/>
  <c r="H263" i="1" s="1"/>
  <c r="I203" i="1"/>
  <c r="J203" i="1"/>
  <c r="K203" i="1"/>
  <c r="K249" i="1" s="1"/>
  <c r="K263" i="1" s="1"/>
  <c r="F221" i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I249" i="1"/>
  <c r="I263" i="1" s="1"/>
  <c r="J249" i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I400" i="1" s="1"/>
  <c r="H400" i="1"/>
  <c r="L405" i="1"/>
  <c r="L406" i="1"/>
  <c r="L407" i="1"/>
  <c r="L408" i="1"/>
  <c r="L411" i="1" s="1"/>
  <c r="L426" i="1" s="1"/>
  <c r="G628" i="1" s="1"/>
  <c r="J628" i="1" s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J425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J630" i="1" s="1"/>
  <c r="H444" i="1"/>
  <c r="F450" i="1"/>
  <c r="G450" i="1"/>
  <c r="H450" i="1"/>
  <c r="F451" i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F464" i="1"/>
  <c r="G464" i="1"/>
  <c r="H464" i="1"/>
  <c r="H466" i="1" s="1"/>
  <c r="H614" i="1" s="1"/>
  <c r="J614" i="1" s="1"/>
  <c r="I464" i="1"/>
  <c r="J464" i="1"/>
  <c r="G466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L514" i="1"/>
  <c r="F519" i="1"/>
  <c r="F535" i="1" s="1"/>
  <c r="G519" i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G613" i="1"/>
  <c r="J613" i="1" s="1"/>
  <c r="H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3" i="1"/>
  <c r="G634" i="1"/>
  <c r="H634" i="1"/>
  <c r="J634" i="1"/>
  <c r="H637" i="1"/>
  <c r="G639" i="1"/>
  <c r="G641" i="1"/>
  <c r="J641" i="1" s="1"/>
  <c r="H641" i="1"/>
  <c r="G642" i="1"/>
  <c r="H642" i="1"/>
  <c r="J642" i="1"/>
  <c r="G643" i="1"/>
  <c r="H643" i="1"/>
  <c r="J643" i="1" s="1"/>
  <c r="G644" i="1"/>
  <c r="J644" i="1" s="1"/>
  <c r="H644" i="1"/>
  <c r="G645" i="1"/>
  <c r="J645" i="1" s="1"/>
  <c r="H645" i="1"/>
  <c r="L561" i="1" l="1"/>
  <c r="G636" i="1"/>
  <c r="G621" i="1"/>
  <c r="J621" i="1" s="1"/>
  <c r="E120" i="2"/>
  <c r="F43" i="2"/>
  <c r="H542" i="1"/>
  <c r="D55" i="2"/>
  <c r="D96" i="2" s="1"/>
  <c r="F185" i="1"/>
  <c r="G617" i="1" s="1"/>
  <c r="J617" i="1" s="1"/>
  <c r="L535" i="1"/>
  <c r="G156" i="2"/>
  <c r="I185" i="1"/>
  <c r="G620" i="1" s="1"/>
  <c r="J620" i="1" s="1"/>
  <c r="F137" i="2"/>
  <c r="I653" i="1"/>
  <c r="F650" i="1"/>
  <c r="J640" i="1"/>
  <c r="G137" i="2"/>
  <c r="G39" i="2"/>
  <c r="G42" i="2" s="1"/>
  <c r="G43" i="2" s="1"/>
  <c r="J43" i="1"/>
  <c r="L400" i="1"/>
  <c r="C130" i="2"/>
  <c r="C133" i="2" s="1"/>
  <c r="C5" i="13"/>
  <c r="J608" i="1"/>
  <c r="C73" i="2"/>
  <c r="G185" i="1"/>
  <c r="G618" i="1" s="1"/>
  <c r="J618" i="1" s="1"/>
  <c r="H650" i="1"/>
  <c r="H654" i="1" s="1"/>
  <c r="J607" i="1"/>
  <c r="C96" i="2"/>
  <c r="J19" i="1"/>
  <c r="G611" i="1" s="1"/>
  <c r="G9" i="2"/>
  <c r="G19" i="2" s="1"/>
  <c r="E33" i="13"/>
  <c r="D35" i="13" s="1"/>
  <c r="C8" i="13"/>
  <c r="J615" i="1"/>
  <c r="G153" i="2"/>
  <c r="K539" i="1"/>
  <c r="K542" i="1" s="1"/>
  <c r="E73" i="2"/>
  <c r="E96" i="2" s="1"/>
  <c r="G22" i="2"/>
  <c r="G32" i="2" s="1"/>
  <c r="J33" i="1"/>
  <c r="C39" i="10"/>
  <c r="J633" i="1"/>
  <c r="D73" i="2"/>
  <c r="G96" i="2"/>
  <c r="C115" i="2"/>
  <c r="I450" i="1"/>
  <c r="L221" i="1"/>
  <c r="G650" i="1" s="1"/>
  <c r="G654" i="1" s="1"/>
  <c r="C19" i="10"/>
  <c r="J330" i="1"/>
  <c r="J344" i="1" s="1"/>
  <c r="C114" i="2"/>
  <c r="C120" i="2" s="1"/>
  <c r="E101" i="2"/>
  <c r="E107" i="2" s="1"/>
  <c r="C18" i="10"/>
  <c r="L330" i="1"/>
  <c r="L344" i="1" s="1"/>
  <c r="G623" i="1" s="1"/>
  <c r="J623" i="1" s="1"/>
  <c r="C101" i="2"/>
  <c r="C107" i="2" s="1"/>
  <c r="F77" i="2"/>
  <c r="F83" i="2" s="1"/>
  <c r="F96" i="2" s="1"/>
  <c r="G652" i="1"/>
  <c r="C17" i="10"/>
  <c r="C35" i="10"/>
  <c r="G612" i="1"/>
  <c r="J612" i="1" s="1"/>
  <c r="J263" i="1"/>
  <c r="I44" i="1"/>
  <c r="H610" i="1" s="1"/>
  <c r="J610" i="1" s="1"/>
  <c r="E77" i="2"/>
  <c r="E83" i="2" s="1"/>
  <c r="F542" i="1"/>
  <c r="L343" i="1"/>
  <c r="F652" i="1"/>
  <c r="I652" i="1" s="1"/>
  <c r="C16" i="10"/>
  <c r="D15" i="13"/>
  <c r="C15" i="13" s="1"/>
  <c r="I444" i="1"/>
  <c r="C106" i="2"/>
  <c r="C25" i="10"/>
  <c r="H104" i="1"/>
  <c r="H185" i="1" s="1"/>
  <c r="G619" i="1" s="1"/>
  <c r="J619" i="1" s="1"/>
  <c r="F33" i="13"/>
  <c r="D119" i="2"/>
  <c r="D120" i="2" s="1"/>
  <c r="D137" i="2" s="1"/>
  <c r="E123" i="2"/>
  <c r="E136" i="2" s="1"/>
  <c r="H651" i="1"/>
  <c r="G635" i="1"/>
  <c r="J635" i="1" s="1"/>
  <c r="C12" i="10"/>
  <c r="L604" i="1"/>
  <c r="F651" i="1"/>
  <c r="I651" i="1" s="1"/>
  <c r="C11" i="10"/>
  <c r="L354" i="1"/>
  <c r="I438" i="1"/>
  <c r="G632" i="1" s="1"/>
  <c r="H25" i="13"/>
  <c r="L320" i="1"/>
  <c r="D31" i="13" s="1"/>
  <c r="C31" i="13" s="1"/>
  <c r="I650" i="1" l="1"/>
  <c r="I654" i="1" s="1"/>
  <c r="F654" i="1"/>
  <c r="L249" i="1"/>
  <c r="L263" i="1" s="1"/>
  <c r="G622" i="1" s="1"/>
  <c r="J622" i="1" s="1"/>
  <c r="E137" i="2"/>
  <c r="J611" i="1"/>
  <c r="G627" i="1"/>
  <c r="J627" i="1" s="1"/>
  <c r="H636" i="1"/>
  <c r="G616" i="1"/>
  <c r="J616" i="1" s="1"/>
  <c r="J44" i="1"/>
  <c r="H611" i="1" s="1"/>
  <c r="H33" i="13"/>
  <c r="C25" i="13"/>
  <c r="G662" i="1"/>
  <c r="C5" i="10" s="1"/>
  <c r="G657" i="1"/>
  <c r="H662" i="1"/>
  <c r="C6" i="10" s="1"/>
  <c r="H657" i="1"/>
  <c r="C36" i="10"/>
  <c r="C27" i="10"/>
  <c r="G625" i="1"/>
  <c r="J625" i="1" s="1"/>
  <c r="I451" i="1"/>
  <c r="H632" i="1" s="1"/>
  <c r="J632" i="1" s="1"/>
  <c r="C136" i="2"/>
  <c r="C137" i="2" s="1"/>
  <c r="J636" i="1"/>
  <c r="D33" i="13"/>
  <c r="D36" i="13" s="1"/>
  <c r="H638" i="1"/>
  <c r="J638" i="1" s="1"/>
  <c r="F662" i="1" l="1"/>
  <c r="C4" i="10" s="1"/>
  <c r="F657" i="1"/>
  <c r="H646" i="1"/>
  <c r="C41" i="10"/>
  <c r="I662" i="1"/>
  <c r="C7" i="10" s="1"/>
  <c r="I657" i="1"/>
  <c r="D27" i="10"/>
  <c r="C28" i="10"/>
  <c r="C30" i="10" l="1"/>
  <c r="D13" i="10"/>
  <c r="D22" i="10"/>
  <c r="D26" i="10"/>
  <c r="D24" i="10"/>
  <c r="D23" i="10"/>
  <c r="D15" i="10"/>
  <c r="D10" i="10"/>
  <c r="D28" i="10" s="1"/>
  <c r="D21" i="10"/>
  <c r="D20" i="10"/>
  <c r="D25" i="10"/>
  <c r="D19" i="10"/>
  <c r="D18" i="10"/>
  <c r="D12" i="10"/>
  <c r="D17" i="10"/>
  <c r="D11" i="10"/>
  <c r="D16" i="10"/>
  <c r="D37" i="10"/>
  <c r="D40" i="10"/>
  <c r="D38" i="10"/>
  <c r="D35" i="10"/>
  <c r="D39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B36A0B3-2326-46D5-A38E-5150B728620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D4A13CC-20DA-49A0-9446-7068A79A4BA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D9C3BC3-AF9B-4B32-8B13-026549A6A11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CD22532-2AB6-49B0-9EE8-D35A17F8527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BEE92D2-2675-4A75-882C-0C167510885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467636F-9136-4524-9412-D979E33FDF5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73A081A-02CA-4949-8D37-DD76934799F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D4FE6EE-FE8C-45C3-92F8-7394018F4A7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8344269-8C2A-4700-8A8A-82157207E38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C617E71-F18A-463C-AACD-044BBFA7317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7692986-A403-4665-B091-DD3D63E19D3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E96382E-3630-4010-B653-8D6CD61434A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<sst xmlns="http://schemas.openxmlformats.org/spreadsheetml/2006/main" count="3864" uniqueCount="901">
  <si>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</si>
  <si>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</si>
  <si>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</si>
  <si>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</si>
  <si>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</si>
  <si>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</si>
  <si>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</si>
  <si>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</si>
  <si>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</si>
  <si>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</si>
  <si>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</si>
  <si>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</si>
  <si>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</si>
  <si>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</si>
  <si>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</si>
  <si>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</si>
  <si>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</si>
  <si>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</si>
  <si>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</si>
  <si>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</si>
  <si>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</si>
  <si>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</si>
  <si>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</si>
  <si>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</si>
  <si>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</si>
  <si>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</si>
  <si>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</si>
  <si>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</si>
  <si>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</si>
  <si>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</si>
  <si>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</si>
  <si>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</si>
  <si>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</si>
  <si>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</si>
  <si>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</si>
  <si>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</si>
  <si>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</si>
  <si>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</si>
  <si>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</si>
  <si>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</si>
  <si>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</si>
  <si>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</si>
  <si>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</si>
  <si>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</si>
  <si>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</si>
  <si>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</si>
  <si>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</si>
  <si>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</si>
  <si>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</si>
  <si>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</si>
  <si>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</si>
  <si>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</si>
  <si>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</si>
  <si>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</si>
  <si>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</si>
  <si>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</si>
  <si>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</si>
  <si>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</si>
  <si>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</si>
  <si>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</si>
  <si>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</si>
  <si>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</si>
  <si>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</si>
  <si>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</si>
  <si>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</si>
  <si>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</si>
  <si>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</si>
  <si>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</si>
  <si>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</si>
  <si>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</si>
  <si>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</si>
  <si>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</si>
  <si>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</si>
  <si>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</si>
  <si>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</si>
  <si>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</si>
  <si>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</si>
  <si>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</si>
  <si>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</si>
  <si>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</si>
  <si>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</si>
  <si>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</si>
  <si>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</si>
  <si>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</si>
  <si>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</si>
  <si>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</si>
  <si>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</si>
  <si>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</si>
  <si>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</si>
  <si>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</si>
  <si>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</si>
  <si>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</si>
  <si>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</si>
  <si>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</si>
  <si>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</si>
  <si>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</si>
  <si>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</si>
  <si>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</si>
  <si>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</si>
  <si>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</si>
  <si>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</si>
  <si>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</si>
  <si>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</si>
  <si>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</si>
  <si>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</si>
  <si>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</si>
  <si>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</si>
  <si>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</si>
  <si>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</si>
  <si>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</si>
  <si>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</si>
  <si>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</si>
  <si>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</si>
  <si>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</si>
  <si>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</si>
  <si>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</si>
  <si>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</si>
  <si>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</si>
  <si>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</si>
  <si>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</si>
  <si>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</si>
  <si>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</si>
  <si>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</si>
  <si>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</si>
  <si>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</si>
  <si>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</si>
  <si>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</si>
  <si>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</si>
  <si>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</si>
  <si>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</si>
  <si>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</si>
  <si>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</si>
  <si>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</si>
  <si>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</si>
  <si>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</si>
  <si>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</si>
  <si>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</si>
  <si>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</si>
  <si>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</si>
  <si>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</si>
  <si>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</si>
  <si>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</si>
  <si>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</si>
  <si>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</si>
  <si>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</si>
  <si>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</si>
  <si>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</si>
  <si>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</si>
  <si>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</si>
  <si>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</si>
  <si>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</si>
  <si>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</si>
  <si>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</si>
  <si>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</si>
  <si>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</si>
  <si>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</si>
  <si>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</si>
  <si>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</si>
  <si>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</si>
  <si>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</si>
  <si>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</si>
  <si>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</si>
  <si>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</si>
  <si>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</si>
  <si>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</si>
  <si>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</si>
  <si>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</si>
  <si>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</si>
  <si>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</si>
  <si>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</si>
  <si>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</si>
  <si>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</si>
  <si>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</si>
  <si>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</si>
  <si>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</si>
  <si>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</si>
  <si>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</si>
  <si>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</si>
  <si>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</si>
  <si>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</si>
  <si>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</si>
  <si>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</si>
  <si>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</si>
  <si>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</si>
  <si>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</si>
  <si>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</si>
  <si>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</si>
  <si>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</si>
  <si>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</si>
  <si>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</si>
  <si>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</si>
  <si>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</si>
  <si>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</si>
  <si>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</si>
  <si>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</si>
  <si>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</si>
  <si>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</si>
  <si>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</si>
  <si>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</si>
  <si>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</si>
  <si>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</si>
  <si>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</si>
  <si>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</si>
  <si>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</si>
  <si>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</si>
  <si>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</si>
  <si>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</si>
  <si>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</si>
  <si>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</si>
  <si>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</si>
  <si>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</si>
  <si>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</si>
  <si>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</si>
  <si>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</si>
  <si>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</si>
  <si>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</si>
  <si>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</si>
  <si>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</si>
  <si>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</si>
  <si>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</si>
  <si>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</si>
  <si>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</si>
  <si>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</si>
  <si>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</si>
  <si>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</si>
  <si>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</si>
  <si>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</si>
  <si>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</si>
  <si>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</si>
  <si>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</si>
  <si>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</si>
  <si>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</si>
  <si>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</si>
  <si>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</si>
  <si>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</si>
  <si>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</si>
  <si>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</si>
  <si>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</si>
  <si>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</si>
  <si>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</si>
  <si>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</si>
  <si>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</si>
  <si>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</si>
  <si>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</si>
  <si>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</si>
  <si>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</si>
  <si>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</si>
  <si>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</si>
  <si>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</si>
  <si>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</si>
  <si>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</si>
  <si>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</si>
  <si>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</si>
  <si>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</si>
  <si>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</si>
  <si>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</si>
  <si>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</si>
  <si>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</si>
  <si>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</si>
  <si>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</si>
  <si>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</si>
  <si>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</si>
  <si>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</si>
  <si>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</si>
  <si>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</si>
  <si>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</si>
  <si>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</si>
  <si>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</si>
  <si>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</si>
  <si>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</si>
  <si>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</si>
  <si>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</si>
  <si>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</si>
  <si>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</si>
  <si>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</si>
  <si>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</si>
  <si>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</si>
  <si>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</si>
  <si>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</si>
  <si>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</si>
  <si>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</si>
  <si>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</si>
  <si>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</si>
  <si>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</si>
  <si>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</si>
  <si>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</si>
  <si>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</si>
  <si>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</si>
  <si>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</si>
  <si>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</si>
  <si>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</si>
  <si>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</si>
  <si>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</si>
  <si>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</si>
  <si>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</si>
  <si>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</si>
  <si>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</si>
  <si>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</si>
  <si>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</si>
  <si>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</si>
  <si>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</si>
  <si>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</si>
  <si>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</si>
  <si>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</si>
  <si>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</si>
  <si>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</si>
  <si>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</si>
  <si>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</si>
  <si>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</si>
  <si>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</si>
  <si>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</si>
  <si>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</si>
  <si>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</si>
  <si>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</si>
  <si>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</si>
  <si>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</si>
  <si>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</si>
  <si>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</si>
  <si>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</si>
  <si>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</si>
  <si>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</si>
  <si>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</si>
  <si>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</si>
  <si>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</si>
  <si>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</si>
  <si>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</si>
  <si>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</si>
  <si>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</si>
  <si>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</si>
  <si>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</si>
  <si>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</si>
  <si>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</si>
  <si>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</si>
  <si>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</si>
  <si>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</si>
  <si>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</si>
  <si>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</si>
  <si>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</si>
  <si>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</si>
  <si>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</si>
  <si>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</si>
  <si>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</si>
  <si>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</si>
  <si>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</si>
  <si>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</si>
  <si>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</si>
  <si>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</si>
  <si>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</si>
  <si>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</si>
  <si>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</si>
  <si>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</si>
  <si>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</si>
  <si>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</si>
  <si>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</si>
  <si>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</si>
  <si>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</si>
  <si>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</si>
  <si>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</si>
  <si>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</si>
  <si>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</si>
  <si>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</si>
  <si>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</si>
  <si>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</si>
  <si>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</si>
  <si>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</si>
  <si>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</si>
  <si>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</si>
  <si>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</si>
  <si>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</si>
  <si>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</si>
  <si>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</si>
  <si>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</si>
  <si>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</si>
  <si>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</si>
  <si>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</si>
  <si>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</si>
  <si>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</si>
  <si>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</si>
  <si>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</si>
  <si>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</si>
  <si>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</si>
  <si>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</si>
  <si>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</si>
  <si>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</si>
  <si>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</si>
  <si>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</si>
  <si>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</si>
  <si>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</si>
  <si>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</si>
  <si>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</si>
  <si>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</si>
  <si>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</si>
  <si>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</si>
  <si>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</si>
  <si>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</si>
  <si>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</si>
  <si>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</si>
  <si>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</si>
  <si>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</si>
  <si>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</si>
  <si>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</si>
  <si>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</si>
  <si>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</si>
  <si>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</si>
  <si>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</si>
  <si>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</si>
  <si>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</si>
  <si>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</si>
  <si>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</si>
  <si>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</si>
  <si>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</si>
  <si>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</si>
  <si>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</si>
  <si>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</si>
  <si>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</si>
  <si>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</si>
  <si>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</si>
  <si>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</si>
  <si>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</si>
  <si>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</si>
  <si>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</si>
  <si>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</si>
  <si>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</si>
  <si>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</si>
  <si>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</si>
  <si>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</si>
  <si>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</si>
  <si>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</si>
  <si>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</si>
  <si>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</si>
  <si>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</si>
  <si>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</si>
  <si>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</si>
  <si>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</si>
  <si>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</si>
  <si>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</si>
  <si>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</si>
  <si>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</si>
  <si>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</si>
  <si>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</si>
  <si>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</si>
  <si>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</si>
  <si>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</si>
  <si>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</si>
  <si>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</si>
  <si>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</si>
  <si>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</si>
  <si>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</si>
  <si>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</si>
  <si>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</si>
  <si>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</si>
  <si>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</si>
  <si>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</si>
  <si>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</si>
  <si>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</si>
  <si>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</si>
  <si>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</si>
  <si>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</si>
  <si>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</si>
  <si>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</si>
  <si>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</si>
  <si>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</si>
  <si>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</si>
  <si>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</si>
  <si>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</si>
  <si>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</si>
  <si>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</si>
  <si>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</si>
  <si>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</si>
  <si>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</si>
  <si>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</si>
  <si>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</si>
  <si>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</si>
  <si>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</si>
  <si>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</si>
  <si>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</si>
  <si>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</si>
  <si>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</si>
  <si>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</si>
  <si>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</si>
  <si>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</si>
  <si>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</si>
  <si>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</si>
  <si>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</si>
  <si>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</si>
  <si>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</si>
  <si>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</si>
  <si>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</si>
  <si>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</si>
  <si>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</si>
  <si>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</si>
  <si>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</si>
  <si>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</si>
  <si>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</si>
  <si>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</si>
  <si>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</si>
  <si>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</si>
  <si>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</si>
  <si>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</si>
  <si>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</si>
  <si>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</si>
  <si>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</si>
  <si>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</si>
  <si>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</si>
  <si>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</si>
  <si>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</si>
  <si>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</si>
  <si>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</si>
  <si>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</si>
  <si>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</si>
  <si>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</si>
  <si>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</si>
  <si>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</si>
  <si>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</si>
  <si>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</si>
  <si>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</si>
  <si>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</si>
  <si>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</si>
  <si>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</si>
  <si>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</si>
  <si>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</si>
  <si>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</si>
  <si>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</si>
  <si>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</si>
  <si>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</si>
  <si>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</si>
  <si>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</si>
  <si>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</si>
  <si>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</si>
  <si>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</si>
  <si>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</si>
  <si>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</si>
  <si>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</si>
  <si>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</si>
  <si>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</si>
  <si>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</si>
  <si>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</si>
  <si>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</si>
  <si>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</si>
  <si>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</si>
  <si>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</si>
  <si>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</si>
  <si>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</si>
  <si>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</si>
  <si>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</si>
  <si>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</si>
  <si>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</si>
  <si>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</si>
  <si>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</si>
  <si>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</si>
  <si>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</si>
  <si>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</si>
  <si>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</si>
  <si>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</si>
  <si>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</si>
  <si>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</si>
  <si>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</si>
  <si>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</si>
  <si>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</si>
  <si>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</si>
  <si>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</si>
  <si>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</si>
  <si>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</si>
  <si>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</si>
  <si>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</si>
  <si>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</si>
  <si>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</si>
  <si>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</si>
  <si>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</si>
  <si>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</si>
  <si>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</si>
  <si>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</si>
  <si>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</si>
  <si>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</si>
  <si>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</si>
  <si>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</si>
  <si>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</si>
  <si>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</si>
  <si>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</si>
  <si>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</si>
  <si>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</si>
  <si>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</si>
  <si>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</si>
  <si>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</si>
  <si>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</si>
  <si>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</si>
  <si>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</si>
  <si>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</si>
  <si>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</si>
  <si>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</si>
  <si>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</si>
  <si>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</si>
  <si>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</si>
  <si>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</si>
  <si>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</si>
  <si>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</si>
  <si>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</si>
  <si>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</si>
  <si>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</si>
  <si>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</si>
  <si>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</si>
  <si>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</si>
  <si>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</si>
  <si>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</si>
  <si>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</si>
  <si>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</si>
  <si>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</si>
  <si>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</si>
  <si>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</si>
  <si>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</si>
  <si>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</si>
  <si>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</si>
  <si>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</si>
  <si>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</si>
  <si>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</si>
  <si>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</si>
  <si>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</si>
  <si>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</si>
  <si>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</si>
  <si>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</si>
  <si>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</si>
  <si>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</si>
  <si>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</si>
  <si>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</si>
  <si>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</si>
  <si>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</si>
  <si>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</si>
  <si>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</si>
  <si>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</si>
  <si>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</si>
  <si>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</si>
  <si>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</si>
  <si>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</si>
  <si>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</si>
  <si>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</si>
  <si>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</si>
  <si>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</si>
  <si>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</si>
  <si>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</si>
  <si>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</si>
  <si>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</si>
  <si>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</si>
  <si>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</si>
  <si>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</si>
  <si>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</si>
  <si>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</si>
  <si>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</si>
  <si>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</si>
  <si>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</si>
  <si>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</si>
  <si>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</si>
  <si>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</si>
  <si>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</si>
  <si>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</si>
  <si>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</si>
  <si>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</si>
  <si>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</si>
  <si>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</si>
  <si>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</si>
  <si>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</si>
  <si>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</si>
  <si>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</si>
  <si>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</si>
  <si>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</si>
  <si>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</si>
  <si>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</si>
  <si>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</si>
  <si>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</si>
  <si>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</si>
  <si>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</si>
  <si>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</si>
  <si>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</si>
  <si>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</si>
  <si>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</si>
  <si>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</si>
  <si>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</si>
  <si>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</si>
  <si>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</si>
  <si>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</si>
  <si>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</si>
  <si>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</si>
  <si>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</si>
  <si>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</si>
  <si>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</si>
  <si>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</si>
  <si>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</si>
  <si>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</si>
  <si>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</si>
  <si>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</si>
  <si>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</si>
  <si>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</si>
  <si>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</si>
  <si>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</si>
  <si>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</si>
  <si>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</si>
  <si>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</si>
  <si>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</si>
  <si>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</si>
  <si>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</si>
  <si>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</si>
  <si>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</si>
  <si>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</si>
  <si>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</si>
  <si>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</si>
  <si>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</si>
  <si>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</si>
  <si>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</si>
  <si>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</si>
  <si>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</si>
  <si>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</si>
  <si>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</si>
  <si>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</si>
  <si>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</si>
  <si>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</si>
  <si>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</si>
  <si>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</si>
  <si>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</si>
  <si>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</si>
  <si>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</si>
  <si>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</si>
  <si>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</si>
  <si>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</si>
  <si>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</si>
  <si>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</si>
  <si>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</si>
  <si>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</si>
  <si>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</si>
  <si>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</si>
  <si>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</si>
  <si>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</si>
  <si>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</si>
  <si>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</si>
  <si>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</si>
  <si>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</si>
  <si>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</si>
  <si>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</si>
  <si>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</si>
  <si>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</si>
  <si>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</si>
  <si>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</si>
  <si>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</si>
  <si>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</si>
  <si>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</si>
  <si>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</si>
  <si>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</si>
  <si>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</si>
  <si>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</si>
  <si>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</si>
  <si>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</si>
  <si>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</si>
  <si>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</si>
  <si>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</si>
  <si>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</si>
  <si>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</si>
  <si>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</si>
  <si>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</si>
  <si>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</si>
  <si>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</si>
  <si>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</si>
  <si>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</si>
  <si>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</si>
  <si>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</si>
  <si>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</si>
  <si>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</si>
  <si>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</si>
  <si>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</si>
  <si>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</si>
  <si>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</si>
  <si>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</si>
  <si>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</si>
  <si>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</si>
  <si>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</si>
  <si>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</si>
  <si>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</si>
  <si>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</si>
  <si>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</si>
  <si>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</si>
  <si>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</si>
  <si>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</si>
  <si>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</si>
  <si>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</si>
  <si>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</si>
  <si>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</si>
  <si>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</si>
  <si>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</si>
  <si>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</si>
  <si>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</si>
  <si>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</si>
  <si>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</si>
  <si>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</si>
  <si>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</si>
  <si>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</si>
  <si>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</si>
  <si>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</si>
  <si>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</si>
  <si>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</si>
  <si>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</si>
  <si>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</si>
  <si>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</si>
  <si>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</si>
  <si>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</si>
  <si>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</si>
  <si>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</si>
  <si>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</si>
  <si>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</si>
  <si>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</si>
  <si>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</si>
  <si>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</si>
  <si>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</si>
  <si>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</si>
  <si>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</si>
  <si>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</si>
  <si>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</si>
  <si>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</si>
  <si>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</si>
  <si>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</si>
  <si>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</si>
  <si>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</si>
  <si>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</si>
  <si>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</si>
  <si>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</si>
  <si>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</si>
  <si>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</si>
  <si>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</si>
  <si>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</si>
  <si>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</si>
  <si>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</si>
  <si>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</si>
  <si>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</si>
  <si>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</si>
  <si>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</si>
  <si>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</si>
  <si>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</si>
  <si>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</si>
  <si>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</si>
  <si>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</si>
  <si>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</si>
  <si>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</si>
  <si>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</si>
  <si>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</si>
  <si>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</si>
  <si>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</si>
  <si>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</si>
  <si>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</si>
  <si>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</si>
  <si>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</si>
  <si>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</si>
  <si>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</si>
  <si>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</si>
  <si>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</si>
  <si>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</si>
  <si>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</si>
  <si>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</si>
  <si>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</si>
  <si>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</si>
  <si>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</si>
  <si>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</si>
  <si>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</si>
  <si>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</si>
  <si>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</si>
  <si>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</si>
  <si>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</si>
  <si>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</si>
  <si>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</si>
  <si>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</si>
  <si>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</si>
  <si>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</si>
  <si>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</si>
  <si>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</si>
  <si>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</si>
  <si>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</si>
  <si>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</si>
  <si>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</si>
  <si>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</si>
  <si>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</si>
  <si>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</si>
  <si>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</si>
  <si>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</si>
  <si>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</si>
  <si>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</si>
  <si>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</si>
  <si>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</si>
  <si>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</si>
  <si>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</si>
  <si>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</si>
  <si>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</si>
  <si>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</si>
  <si>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</si>
  <si>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</si>
  <si>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</si>
  <si>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</si>
  <si>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</si>
  <si>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</si>
  <si>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</si>
  <si>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2//1993</t>
  </si>
  <si>
    <t>7//2002</t>
  </si>
  <si>
    <t>9//2008</t>
  </si>
  <si>
    <t>2//2013</t>
  </si>
  <si>
    <t>8//2012</t>
  </si>
  <si>
    <t>9//2013</t>
  </si>
  <si>
    <t>LISBON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</si>
</sst>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8013-1A9A-471F-8036-5BFEC419AB2B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306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179659.71</v>
      </c>
      <c r="G9" s="18">
        <v>-5838.47</v>
      </c>
      <c r="H9" s="18">
        <v>-85118.25</v>
      </c>
      <c r="I9" s="18"/>
      <c r="J9" s="67">
        <f>SUM(I431)</f>
        <v>118627.69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/>
      <c r="H12" s="18"/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11254.01</v>
      </c>
      <c r="H13" s="18">
        <v>94762.38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3894.78</v>
      </c>
      <c r="G14" s="18">
        <v>0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183554.49</v>
      </c>
      <c r="G19" s="41">
        <f>SUM(G9:G18)</f>
        <v>5415.54</v>
      </c>
      <c r="H19" s="41">
        <f>SUM(H9:H18)</f>
        <v>9644.1300000000047</v>
      </c>
      <c r="I19" s="41">
        <f>SUM(I9:I18)</f>
        <v>0</v>
      </c>
      <c r="J19" s="41">
        <f>SUM(J9:J18)</f>
        <v>118627.69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95660.24</v>
      </c>
      <c r="G25" s="18">
        <v>0</v>
      </c>
      <c r="H25" s="18">
        <v>6000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95660.24</v>
      </c>
      <c r="G33" s="41">
        <f>SUM(G23:G32)</f>
        <v>0</v>
      </c>
      <c r="H33" s="41">
        <f>SUM(H23:H32)</f>
        <v>6000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5415.54</v>
      </c>
      <c r="H41" s="18">
        <v>3644.13</v>
      </c>
      <c r="I41" s="18">
        <v>0</v>
      </c>
      <c r="J41" s="13">
        <f>SUM(I449)</f>
        <v>118627.69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87894.25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87894.25</v>
      </c>
      <c r="G43" s="41">
        <f>SUM(G35:G42)</f>
        <v>5415.54</v>
      </c>
      <c r="H43" s="41">
        <f>SUM(H35:H42)</f>
        <v>3644.13</v>
      </c>
      <c r="I43" s="41">
        <f>SUM(I35:I42)</f>
        <v>0</v>
      </c>
      <c r="J43" s="41">
        <f>SUM(J35:J42)</f>
        <v>118627.69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183554.49</v>
      </c>
      <c r="G44" s="41">
        <f>G43+G33</f>
        <v>5415.54</v>
      </c>
      <c r="H44" s="41">
        <f>H43+H33</f>
        <v>9644.130000000001</v>
      </c>
      <c r="I44" s="41">
        <f>I43+I33</f>
        <v>0</v>
      </c>
      <c r="J44" s="41">
        <f>J43+J33</f>
        <v>118627.69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1997894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1997894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13167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421150.95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28601.599999999999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462919.55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902.47</v>
      </c>
      <c r="G88" s="18">
        <v>0</v>
      </c>
      <c r="H88" s="18"/>
      <c r="I88" s="18">
        <v>0</v>
      </c>
      <c r="J88" s="18">
        <v>301.91000000000003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53283.199999999997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8840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1569.26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9705.9699999999993</v>
      </c>
      <c r="G102" s="18"/>
      <c r="H102" s="18"/>
      <c r="I102" s="18">
        <v>0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21017.699999999997</v>
      </c>
      <c r="G103" s="41">
        <f>SUM(G88:G102)</f>
        <v>53283.199999999997</v>
      </c>
      <c r="H103" s="41">
        <f>SUM(H88:H102)</f>
        <v>0</v>
      </c>
      <c r="I103" s="41">
        <f>SUM(I88:I102)</f>
        <v>0</v>
      </c>
      <c r="J103" s="41">
        <f>SUM(J88:J102)</f>
        <v>301.91000000000003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2481831.25</v>
      </c>
      <c r="G104" s="41">
        <f>G52+G103</f>
        <v>53283.199999999997</v>
      </c>
      <c r="H104" s="41">
        <f>H52+H71+H86+H103</f>
        <v>0</v>
      </c>
      <c r="I104" s="41">
        <f>I52+I103</f>
        <v>0</v>
      </c>
      <c r="J104" s="41">
        <f>J52+J103</f>
        <v>301.91000000000003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1469891.82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400905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563952.18000000005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2434749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100439.16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110754.46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21500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1720.63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7800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240493.62</v>
      </c>
      <c r="G128" s="41">
        <f>SUM(G115:G127)</f>
        <v>1720.63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2675242.62</v>
      </c>
      <c r="G132" s="41">
        <f>G113+SUM(G128:G129)</f>
        <v>1720.63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277435.13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62455.4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19927.810000000001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79211.100000000006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164554.12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55800.46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55800.46</v>
      </c>
      <c r="G154" s="41">
        <f>SUM(G142:G153)</f>
        <v>79211.100000000006</v>
      </c>
      <c r="H154" s="41">
        <f>SUM(H142:H153)</f>
        <v>524372.46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893.75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56694.21</v>
      </c>
      <c r="G161" s="41">
        <f>G139+G154+SUM(G155:G160)</f>
        <v>79211.100000000006</v>
      </c>
      <c r="H161" s="41">
        <f>H139+H154+SUM(H155:H160)</f>
        <v>524372.46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>
        <v>40000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40000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40000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5213768.08</v>
      </c>
      <c r="G185" s="47">
        <f>G104+G132+G161+G184</f>
        <v>134214.93</v>
      </c>
      <c r="H185" s="47">
        <f>H104+H132+H161+H184</f>
        <v>524372.46</v>
      </c>
      <c r="I185" s="47">
        <f>I104+I132+I161+I184</f>
        <v>0</v>
      </c>
      <c r="J185" s="47">
        <f>J104+J132+J184</f>
        <v>40301.910000000003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682377.67</v>
      </c>
      <c r="G189" s="18">
        <v>263200.78999999998</v>
      </c>
      <c r="H189" s="18">
        <v>458.75</v>
      </c>
      <c r="I189" s="18">
        <v>11379.99</v>
      </c>
      <c r="J189" s="18">
        <v>2485.1999999999998</v>
      </c>
      <c r="K189" s="18"/>
      <c r="L189" s="19">
        <f>SUM(F189:K189)</f>
        <v>959902.39999999991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136011.38</v>
      </c>
      <c r="G190" s="18">
        <v>55508.41</v>
      </c>
      <c r="H190" s="18">
        <v>6028.09</v>
      </c>
      <c r="I190" s="18">
        <v>0.03</v>
      </c>
      <c r="J190" s="18">
        <v>0</v>
      </c>
      <c r="K190" s="18"/>
      <c r="L190" s="19">
        <f>SUM(F190:K190)</f>
        <v>197547.91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56950</v>
      </c>
      <c r="G194" s="18">
        <v>24557.37</v>
      </c>
      <c r="H194" s="18">
        <v>51158.93</v>
      </c>
      <c r="I194" s="18">
        <v>851.23</v>
      </c>
      <c r="J194" s="18">
        <v>0</v>
      </c>
      <c r="K194" s="18"/>
      <c r="L194" s="19">
        <f t="shared" ref="L194:L200" si="0">SUM(F194:K194)</f>
        <v>133517.53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13522.05</v>
      </c>
      <c r="G195" s="18">
        <v>1197.17</v>
      </c>
      <c r="H195" s="18">
        <v>1676.83</v>
      </c>
      <c r="I195" s="18">
        <v>2757.22</v>
      </c>
      <c r="J195" s="18">
        <v>1100</v>
      </c>
      <c r="K195" s="18">
        <v>4890.42</v>
      </c>
      <c r="L195" s="19">
        <f t="shared" si="0"/>
        <v>25143.690000000002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4641</v>
      </c>
      <c r="G196" s="18">
        <v>355.05</v>
      </c>
      <c r="H196" s="18">
        <v>78456.3</v>
      </c>
      <c r="I196" s="18"/>
      <c r="J196" s="18"/>
      <c r="K196" s="18">
        <v>5453.57</v>
      </c>
      <c r="L196" s="19">
        <f t="shared" si="0"/>
        <v>88905.920000000013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51291.87</v>
      </c>
      <c r="G197" s="18">
        <v>20033.05</v>
      </c>
      <c r="H197" s="18">
        <v>6246.19</v>
      </c>
      <c r="I197" s="18">
        <v>6390.49</v>
      </c>
      <c r="J197" s="18">
        <v>334.99</v>
      </c>
      <c r="K197" s="18">
        <v>1698.33</v>
      </c>
      <c r="L197" s="19">
        <f t="shared" si="0"/>
        <v>85994.920000000013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36407.01</v>
      </c>
      <c r="G199" s="18">
        <v>11532.38</v>
      </c>
      <c r="H199" s="18">
        <v>41617.629999999997</v>
      </c>
      <c r="I199" s="18">
        <v>57227.26</v>
      </c>
      <c r="J199" s="18">
        <v>4083.86</v>
      </c>
      <c r="K199" s="18">
        <v>0</v>
      </c>
      <c r="L199" s="19">
        <f t="shared" si="0"/>
        <v>150868.13999999998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60785.8</v>
      </c>
      <c r="I200" s="18"/>
      <c r="J200" s="18"/>
      <c r="K200" s="18"/>
      <c r="L200" s="19">
        <f t="shared" si="0"/>
        <v>60785.8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11713.21</v>
      </c>
      <c r="I201" s="18">
        <v>9134.0400000000009</v>
      </c>
      <c r="J201" s="18">
        <v>373.32</v>
      </c>
      <c r="K201" s="18"/>
      <c r="L201" s="19">
        <f>SUM(F201:K201)</f>
        <v>21220.57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981200.9800000001</v>
      </c>
      <c r="G203" s="41">
        <f t="shared" si="1"/>
        <v>376384.21999999991</v>
      </c>
      <c r="H203" s="41">
        <f t="shared" si="1"/>
        <v>258141.73</v>
      </c>
      <c r="I203" s="41">
        <f t="shared" si="1"/>
        <v>87740.260000000009</v>
      </c>
      <c r="J203" s="41">
        <f t="shared" si="1"/>
        <v>8377.369999999999</v>
      </c>
      <c r="K203" s="41">
        <f t="shared" si="1"/>
        <v>12042.32</v>
      </c>
      <c r="L203" s="41">
        <f t="shared" si="1"/>
        <v>1723886.8799999997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348177.8</v>
      </c>
      <c r="G207" s="18">
        <v>148382.46</v>
      </c>
      <c r="H207" s="18">
        <v>356</v>
      </c>
      <c r="I207" s="18">
        <v>3744.77</v>
      </c>
      <c r="J207" s="18">
        <v>1202.26</v>
      </c>
      <c r="K207" s="18"/>
      <c r="L207" s="19">
        <f>SUM(F207:K207)</f>
        <v>501863.29000000004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78542.47</v>
      </c>
      <c r="G208" s="18">
        <v>27994.37</v>
      </c>
      <c r="H208" s="18">
        <v>301757.90000000002</v>
      </c>
      <c r="I208" s="18">
        <v>0</v>
      </c>
      <c r="J208" s="18">
        <v>0</v>
      </c>
      <c r="K208" s="18"/>
      <c r="L208" s="19">
        <f>SUM(F208:K208)</f>
        <v>408294.74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47664.38</v>
      </c>
      <c r="G209" s="18">
        <v>11945.2</v>
      </c>
      <c r="H209" s="18">
        <v>0</v>
      </c>
      <c r="I209" s="18">
        <v>461.34</v>
      </c>
      <c r="J209" s="18">
        <v>0</v>
      </c>
      <c r="K209" s="18"/>
      <c r="L209" s="19">
        <f>SUM(F209:K209)</f>
        <v>60070.92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14490</v>
      </c>
      <c r="G210" s="18">
        <v>1912.63</v>
      </c>
      <c r="H210" s="18">
        <v>6150</v>
      </c>
      <c r="I210" s="18">
        <v>0</v>
      </c>
      <c r="J210" s="18">
        <v>2757.65</v>
      </c>
      <c r="K210" s="18">
        <v>4877.07</v>
      </c>
      <c r="L210" s="19">
        <f>SUM(F210:K210)</f>
        <v>30187.350000000002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23055.599999999999</v>
      </c>
      <c r="G212" s="18">
        <v>9112.7800000000007</v>
      </c>
      <c r="H212" s="18">
        <v>38507.83</v>
      </c>
      <c r="I212" s="18">
        <v>468.03</v>
      </c>
      <c r="J212" s="18">
        <v>0</v>
      </c>
      <c r="K212" s="18"/>
      <c r="L212" s="19">
        <f t="shared" ref="L212:L218" si="2">SUM(F212:K212)</f>
        <v>71144.239999999991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13128.14</v>
      </c>
      <c r="G213" s="18">
        <v>1165.02</v>
      </c>
      <c r="H213" s="18">
        <v>1676.83</v>
      </c>
      <c r="I213" s="18">
        <v>1862.32</v>
      </c>
      <c r="J213" s="18">
        <v>1099</v>
      </c>
      <c r="K213" s="18">
        <v>3165.75</v>
      </c>
      <c r="L213" s="19">
        <f t="shared" si="2"/>
        <v>22097.06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2975</v>
      </c>
      <c r="G214" s="18">
        <v>227.6</v>
      </c>
      <c r="H214" s="18">
        <v>50292.5</v>
      </c>
      <c r="I214" s="18"/>
      <c r="J214" s="18"/>
      <c r="K214" s="18">
        <v>3495.88</v>
      </c>
      <c r="L214" s="19">
        <f t="shared" si="2"/>
        <v>56990.979999999996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34676.400000000001</v>
      </c>
      <c r="G215" s="18">
        <v>13593.96</v>
      </c>
      <c r="H215" s="18">
        <v>5272.42</v>
      </c>
      <c r="I215" s="18">
        <v>6473.09</v>
      </c>
      <c r="J215" s="18">
        <v>334.99</v>
      </c>
      <c r="K215" s="18">
        <v>1698.31</v>
      </c>
      <c r="L215" s="19">
        <f t="shared" si="2"/>
        <v>62049.169999999991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22884.03</v>
      </c>
      <c r="G217" s="18">
        <v>7248.97</v>
      </c>
      <c r="H217" s="18">
        <v>13379.86</v>
      </c>
      <c r="I217" s="18">
        <v>40247.67</v>
      </c>
      <c r="J217" s="18">
        <v>4146.6499999999996</v>
      </c>
      <c r="K217" s="18">
        <v>0</v>
      </c>
      <c r="L217" s="19">
        <f t="shared" si="2"/>
        <v>87907.18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47254.38</v>
      </c>
      <c r="I218" s="18"/>
      <c r="J218" s="18"/>
      <c r="K218" s="18"/>
      <c r="L218" s="19">
        <f t="shared" si="2"/>
        <v>47254.38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11347.5</v>
      </c>
      <c r="I219" s="18">
        <v>8887.1200000000008</v>
      </c>
      <c r="J219" s="18">
        <v>340.3</v>
      </c>
      <c r="K219" s="18"/>
      <c r="L219" s="19">
        <f>SUM(F219:K219)</f>
        <v>20574.920000000002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585593.82000000007</v>
      </c>
      <c r="G221" s="41">
        <f>SUM(G207:G220)</f>
        <v>221582.99</v>
      </c>
      <c r="H221" s="41">
        <f>SUM(H207:H220)</f>
        <v>475995.22000000003</v>
      </c>
      <c r="I221" s="41">
        <f>SUM(I207:I220)</f>
        <v>62144.340000000004</v>
      </c>
      <c r="J221" s="41">
        <f>SUM(J207:J220)</f>
        <v>9880.8499999999985</v>
      </c>
      <c r="K221" s="41">
        <f t="shared" si="3"/>
        <v>13237.01</v>
      </c>
      <c r="L221" s="41">
        <f t="shared" si="3"/>
        <v>1368434.2299999997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528324.56000000006</v>
      </c>
      <c r="G225" s="18">
        <v>189937.04</v>
      </c>
      <c r="H225" s="18">
        <v>332</v>
      </c>
      <c r="I225" s="18">
        <v>12632.15</v>
      </c>
      <c r="J225" s="18">
        <v>185.54</v>
      </c>
      <c r="K225" s="18"/>
      <c r="L225" s="19">
        <f>SUM(F225:K225)</f>
        <v>731411.29000000015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45086.46</v>
      </c>
      <c r="G226" s="18">
        <v>19554.66</v>
      </c>
      <c r="H226" s="18">
        <v>61825.58</v>
      </c>
      <c r="I226" s="18">
        <v>0</v>
      </c>
      <c r="J226" s="18">
        <v>0</v>
      </c>
      <c r="K226" s="18"/>
      <c r="L226" s="19">
        <f>SUM(F226:K226)</f>
        <v>126466.7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72589.119999999995</v>
      </c>
      <c r="G227" s="18">
        <v>19560.36</v>
      </c>
      <c r="H227" s="18">
        <v>30895.16</v>
      </c>
      <c r="I227" s="18">
        <v>1950.87</v>
      </c>
      <c r="J227" s="18">
        <v>798.7</v>
      </c>
      <c r="K227" s="18"/>
      <c r="L227" s="19">
        <f>SUM(F227:K227)</f>
        <v>125794.20999999999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44828.99</v>
      </c>
      <c r="G228" s="18">
        <v>6195.17</v>
      </c>
      <c r="H228" s="18">
        <v>12592</v>
      </c>
      <c r="I228" s="18">
        <v>0</v>
      </c>
      <c r="J228" s="18">
        <v>3924.57</v>
      </c>
      <c r="K228" s="18">
        <v>5639.77</v>
      </c>
      <c r="L228" s="19">
        <f>SUM(F228:K228)</f>
        <v>73180.5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42817.51</v>
      </c>
      <c r="G230" s="18">
        <v>16922.27</v>
      </c>
      <c r="H230" s="18">
        <v>48447.92</v>
      </c>
      <c r="I230" s="18">
        <v>643.91</v>
      </c>
      <c r="J230" s="18">
        <v>0</v>
      </c>
      <c r="K230" s="18"/>
      <c r="L230" s="19">
        <f t="shared" ref="L230:L236" si="4">SUM(F230:K230)</f>
        <v>108831.61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17142.71</v>
      </c>
      <c r="G231" s="18">
        <v>1524.23</v>
      </c>
      <c r="H231" s="18">
        <v>1677.84</v>
      </c>
      <c r="I231" s="18">
        <v>2762.17</v>
      </c>
      <c r="J231" s="18">
        <v>1100</v>
      </c>
      <c r="K231" s="18">
        <v>5916.16</v>
      </c>
      <c r="L231" s="19">
        <f t="shared" si="4"/>
        <v>30123.109999999997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4284</v>
      </c>
      <c r="G232" s="18">
        <v>327.74</v>
      </c>
      <c r="H232" s="18">
        <v>72421.2</v>
      </c>
      <c r="I232" s="18"/>
      <c r="J232" s="18"/>
      <c r="K232" s="18">
        <v>5034.0600000000004</v>
      </c>
      <c r="L232" s="19">
        <f t="shared" si="4"/>
        <v>82067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67916.73</v>
      </c>
      <c r="G233" s="18">
        <v>27121.68</v>
      </c>
      <c r="H233" s="18">
        <v>6106.44</v>
      </c>
      <c r="I233" s="18">
        <v>6625.17</v>
      </c>
      <c r="J233" s="18">
        <v>365.02</v>
      </c>
      <c r="K233" s="18">
        <v>3730.42</v>
      </c>
      <c r="L233" s="19">
        <f t="shared" si="4"/>
        <v>111865.46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44728.77</v>
      </c>
      <c r="G235" s="18">
        <v>14222.47</v>
      </c>
      <c r="H235" s="18">
        <v>14790.62</v>
      </c>
      <c r="I235" s="18">
        <v>49620.02</v>
      </c>
      <c r="J235" s="18">
        <v>4401.1899999999996</v>
      </c>
      <c r="K235" s="18">
        <v>0</v>
      </c>
      <c r="L235" s="19">
        <f t="shared" si="4"/>
        <v>127763.07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99784.59</v>
      </c>
      <c r="I236" s="18"/>
      <c r="J236" s="18"/>
      <c r="K236" s="18"/>
      <c r="L236" s="19">
        <f t="shared" si="4"/>
        <v>99784.59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11348.55</v>
      </c>
      <c r="I237" s="18">
        <v>18563.98</v>
      </c>
      <c r="J237" s="18">
        <v>49304.56</v>
      </c>
      <c r="K237" s="18"/>
      <c r="L237" s="19">
        <f>SUM(F237:K237)</f>
        <v>79217.09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867718.85</v>
      </c>
      <c r="G239" s="41">
        <f t="shared" si="5"/>
        <v>295365.62</v>
      </c>
      <c r="H239" s="41">
        <f t="shared" si="5"/>
        <v>360221.89999999997</v>
      </c>
      <c r="I239" s="41">
        <f t="shared" si="5"/>
        <v>92798.26999999999</v>
      </c>
      <c r="J239" s="41">
        <f t="shared" si="5"/>
        <v>60079.58</v>
      </c>
      <c r="K239" s="41">
        <f t="shared" si="5"/>
        <v>20320.410000000003</v>
      </c>
      <c r="L239" s="41">
        <f t="shared" si="5"/>
        <v>1696504.6300000006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2434513.6500000004</v>
      </c>
      <c r="G249" s="41">
        <f t="shared" si="8"/>
        <v>893332.83</v>
      </c>
      <c r="H249" s="41">
        <f t="shared" si="8"/>
        <v>1094358.8500000001</v>
      </c>
      <c r="I249" s="41">
        <f t="shared" si="8"/>
        <v>242682.87</v>
      </c>
      <c r="J249" s="41">
        <f t="shared" si="8"/>
        <v>78337.8</v>
      </c>
      <c r="K249" s="41">
        <f t="shared" si="8"/>
        <v>45599.740000000005</v>
      </c>
      <c r="L249" s="41">
        <f t="shared" si="8"/>
        <v>4788825.74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274144.7</v>
      </c>
      <c r="L252" s="19">
        <f>SUM(F252:K252)</f>
        <v>274144.7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119944.68</v>
      </c>
      <c r="L253" s="19">
        <f>SUM(F253:K253)</f>
        <v>119944.68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40000</v>
      </c>
      <c r="L258" s="19">
        <f t="shared" si="9"/>
        <v>40000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434089.38</v>
      </c>
      <c r="L262" s="41">
        <f t="shared" si="9"/>
        <v>434089.38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2434513.6500000004</v>
      </c>
      <c r="G263" s="42">
        <f t="shared" si="11"/>
        <v>893332.83</v>
      </c>
      <c r="H263" s="42">
        <f t="shared" si="11"/>
        <v>1094358.8500000001</v>
      </c>
      <c r="I263" s="42">
        <f t="shared" si="11"/>
        <v>242682.87</v>
      </c>
      <c r="J263" s="42">
        <f t="shared" si="11"/>
        <v>78337.8</v>
      </c>
      <c r="K263" s="42">
        <f t="shared" si="11"/>
        <v>479689.12</v>
      </c>
      <c r="L263" s="42">
        <f t="shared" si="11"/>
        <v>5222915.12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117</v>
      </c>
      <c r="G268" s="18">
        <v>1117.47</v>
      </c>
      <c r="H268" s="18">
        <v>46.8</v>
      </c>
      <c r="I268" s="18">
        <v>829.3</v>
      </c>
      <c r="J268" s="18">
        <v>1256.8599999999999</v>
      </c>
      <c r="K268" s="18"/>
      <c r="L268" s="19">
        <f>SUM(F268:K268)</f>
        <v>3367.4299999999994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120220.49</v>
      </c>
      <c r="G269" s="18">
        <v>44805.2</v>
      </c>
      <c r="H269" s="18">
        <v>12282.51</v>
      </c>
      <c r="I269" s="18">
        <v>12736.98</v>
      </c>
      <c r="J269" s="18">
        <v>13958.49</v>
      </c>
      <c r="K269" s="18">
        <v>526.5</v>
      </c>
      <c r="L269" s="19">
        <f>SUM(F269:K269)</f>
        <v>204530.17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3170.7</v>
      </c>
      <c r="G271" s="18">
        <v>495.59</v>
      </c>
      <c r="H271" s="18">
        <v>0</v>
      </c>
      <c r="I271" s="18">
        <v>0</v>
      </c>
      <c r="J271" s="18"/>
      <c r="K271" s="18"/>
      <c r="L271" s="19">
        <f>SUM(F271:K271)</f>
        <v>3666.29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0</v>
      </c>
      <c r="I273" s="18">
        <v>101.98</v>
      </c>
      <c r="J273" s="18"/>
      <c r="K273" s="18"/>
      <c r="L273" s="19">
        <f t="shared" ref="L273:L279" si="12">SUM(F273:K273)</f>
        <v>101.98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24656.57</v>
      </c>
      <c r="G274" s="18">
        <v>4857.72</v>
      </c>
      <c r="H274" s="18">
        <v>36046.25</v>
      </c>
      <c r="I274" s="18">
        <v>40133.54</v>
      </c>
      <c r="J274" s="18">
        <v>36600</v>
      </c>
      <c r="K274" s="18">
        <v>103.41</v>
      </c>
      <c r="L274" s="19">
        <f t="shared" si="12"/>
        <v>142397.49000000002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/>
      <c r="K275" s="18">
        <v>4995.33</v>
      </c>
      <c r="L275" s="19">
        <f t="shared" si="12"/>
        <v>4995.33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148164.76</v>
      </c>
      <c r="G282" s="42">
        <f t="shared" si="13"/>
        <v>51275.979999999996</v>
      </c>
      <c r="H282" s="42">
        <f t="shared" si="13"/>
        <v>48375.56</v>
      </c>
      <c r="I282" s="42">
        <f t="shared" si="13"/>
        <v>53801.8</v>
      </c>
      <c r="J282" s="42">
        <f t="shared" si="13"/>
        <v>51815.35</v>
      </c>
      <c r="K282" s="42">
        <f t="shared" si="13"/>
        <v>5625.24</v>
      </c>
      <c r="L282" s="41">
        <f t="shared" si="13"/>
        <v>359058.69000000006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75</v>
      </c>
      <c r="G287" s="18">
        <v>716.33</v>
      </c>
      <c r="H287" s="18">
        <v>30</v>
      </c>
      <c r="I287" s="18">
        <v>531.6</v>
      </c>
      <c r="J287" s="18">
        <v>805.68</v>
      </c>
      <c r="K287" s="18"/>
      <c r="L287" s="19">
        <f>SUM(F287:K287)</f>
        <v>2158.61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24472.11</v>
      </c>
      <c r="G288" s="18">
        <v>9516.5</v>
      </c>
      <c r="H288" s="18">
        <v>9527.25</v>
      </c>
      <c r="I288" s="18">
        <v>3500.3</v>
      </c>
      <c r="J288" s="18">
        <v>5936.63</v>
      </c>
      <c r="K288" s="18">
        <v>337.5</v>
      </c>
      <c r="L288" s="19">
        <f>SUM(F288:K288)</f>
        <v>53290.29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2032.5</v>
      </c>
      <c r="G290" s="18">
        <v>317.68</v>
      </c>
      <c r="H290" s="18">
        <v>0</v>
      </c>
      <c r="I290" s="18">
        <v>0</v>
      </c>
      <c r="J290" s="18"/>
      <c r="K290" s="18"/>
      <c r="L290" s="19">
        <f>SUM(F290:K290)</f>
        <v>2350.1799999999998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0</v>
      </c>
      <c r="I292" s="18">
        <v>65.38</v>
      </c>
      <c r="J292" s="18"/>
      <c r="K292" s="18"/>
      <c r="L292" s="19">
        <f t="shared" ref="L292:L298" si="14">SUM(F292:K292)</f>
        <v>65.38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4552.76</v>
      </c>
      <c r="G293" s="18">
        <v>361.27</v>
      </c>
      <c r="H293" s="18">
        <v>3311.86</v>
      </c>
      <c r="I293" s="18">
        <v>3601.59</v>
      </c>
      <c r="J293" s="18">
        <v>0</v>
      </c>
      <c r="K293" s="18">
        <v>0</v>
      </c>
      <c r="L293" s="19">
        <f t="shared" si="14"/>
        <v>11827.480000000001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v>1126.67</v>
      </c>
      <c r="L294" s="19">
        <f t="shared" si="14"/>
        <v>1126.67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31132.370000000003</v>
      </c>
      <c r="G301" s="42">
        <f t="shared" si="15"/>
        <v>10911.78</v>
      </c>
      <c r="H301" s="42">
        <f t="shared" si="15"/>
        <v>12869.11</v>
      </c>
      <c r="I301" s="42">
        <f t="shared" si="15"/>
        <v>7698.87</v>
      </c>
      <c r="J301" s="42">
        <f t="shared" si="15"/>
        <v>6742.31</v>
      </c>
      <c r="K301" s="42">
        <f t="shared" si="15"/>
        <v>1464.17</v>
      </c>
      <c r="L301" s="41">
        <f t="shared" si="15"/>
        <v>70818.61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108</v>
      </c>
      <c r="G306" s="18">
        <v>1031.52</v>
      </c>
      <c r="H306" s="18">
        <v>43.2</v>
      </c>
      <c r="I306" s="18">
        <v>765.51</v>
      </c>
      <c r="J306" s="18">
        <v>1160.18</v>
      </c>
      <c r="K306" s="18"/>
      <c r="L306" s="19">
        <f>SUM(F306:K306)</f>
        <v>3108.41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25807.83</v>
      </c>
      <c r="G307" s="18">
        <v>11808.37</v>
      </c>
      <c r="H307" s="18">
        <v>7671.24</v>
      </c>
      <c r="I307" s="18">
        <v>3682.26</v>
      </c>
      <c r="J307" s="18">
        <v>7654.14</v>
      </c>
      <c r="K307" s="18">
        <v>486</v>
      </c>
      <c r="L307" s="19">
        <f>SUM(F307:K307)</f>
        <v>57109.840000000004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2926.8</v>
      </c>
      <c r="G309" s="18">
        <v>457.46</v>
      </c>
      <c r="H309" s="18">
        <v>0</v>
      </c>
      <c r="I309" s="18">
        <v>0</v>
      </c>
      <c r="J309" s="18"/>
      <c r="K309" s="18"/>
      <c r="L309" s="19">
        <f>SUM(F309:K309)</f>
        <v>3384.26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v>0</v>
      </c>
      <c r="I311" s="18">
        <v>94.14</v>
      </c>
      <c r="J311" s="18"/>
      <c r="K311" s="18"/>
      <c r="L311" s="19">
        <f t="shared" ref="L311:L317" si="16">SUM(F311:K311)</f>
        <v>94.14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6555.97</v>
      </c>
      <c r="G312" s="18">
        <v>520.23</v>
      </c>
      <c r="H312" s="18">
        <v>2130.71</v>
      </c>
      <c r="I312" s="18">
        <v>5186.29</v>
      </c>
      <c r="J312" s="18">
        <v>0</v>
      </c>
      <c r="K312" s="18">
        <v>0</v>
      </c>
      <c r="L312" s="19">
        <f t="shared" si="16"/>
        <v>14393.2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v>1622.4</v>
      </c>
      <c r="L313" s="19">
        <f t="shared" si="16"/>
        <v>1622.4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35398.6</v>
      </c>
      <c r="G320" s="42">
        <f t="shared" si="17"/>
        <v>13817.58</v>
      </c>
      <c r="H320" s="42">
        <f t="shared" si="17"/>
        <v>9845.15</v>
      </c>
      <c r="I320" s="42">
        <f t="shared" si="17"/>
        <v>9728.2000000000007</v>
      </c>
      <c r="J320" s="42">
        <f t="shared" si="17"/>
        <v>8814.32</v>
      </c>
      <c r="K320" s="42">
        <f t="shared" si="17"/>
        <v>2108.4</v>
      </c>
      <c r="L320" s="41">
        <f t="shared" si="17"/>
        <v>79712.25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7417.5</v>
      </c>
      <c r="G325" s="18">
        <v>1110.3399999999999</v>
      </c>
      <c r="H325" s="18">
        <v>5570</v>
      </c>
      <c r="I325" s="18">
        <v>0</v>
      </c>
      <c r="J325" s="18">
        <v>2279.38</v>
      </c>
      <c r="K325" s="18"/>
      <c r="L325" s="19">
        <f t="shared" si="18"/>
        <v>16377.220000000001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7417.5</v>
      </c>
      <c r="G329" s="41">
        <f t="shared" si="19"/>
        <v>1110.3399999999999</v>
      </c>
      <c r="H329" s="41">
        <f t="shared" si="19"/>
        <v>5570</v>
      </c>
      <c r="I329" s="41">
        <f t="shared" si="19"/>
        <v>0</v>
      </c>
      <c r="J329" s="41">
        <f t="shared" si="19"/>
        <v>2279.38</v>
      </c>
      <c r="K329" s="41">
        <f t="shared" si="19"/>
        <v>0</v>
      </c>
      <c r="L329" s="41">
        <f t="shared" si="18"/>
        <v>16377.220000000001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222113.23</v>
      </c>
      <c r="G330" s="41">
        <f t="shared" si="20"/>
        <v>77115.679999999993</v>
      </c>
      <c r="H330" s="41">
        <f t="shared" si="20"/>
        <v>76659.819999999992</v>
      </c>
      <c r="I330" s="41">
        <f t="shared" si="20"/>
        <v>71228.87000000001</v>
      </c>
      <c r="J330" s="41">
        <f t="shared" si="20"/>
        <v>69651.360000000001</v>
      </c>
      <c r="K330" s="41">
        <f t="shared" si="20"/>
        <v>9197.81</v>
      </c>
      <c r="L330" s="41">
        <f t="shared" si="20"/>
        <v>525966.77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222113.23</v>
      </c>
      <c r="G344" s="41">
        <f>G330</f>
        <v>77115.679999999993</v>
      </c>
      <c r="H344" s="41">
        <f>H330</f>
        <v>76659.819999999992</v>
      </c>
      <c r="I344" s="41">
        <f>I330</f>
        <v>71228.87000000001</v>
      </c>
      <c r="J344" s="41">
        <f>J330</f>
        <v>69651.360000000001</v>
      </c>
      <c r="K344" s="47">
        <f>K330+K343</f>
        <v>9197.81</v>
      </c>
      <c r="L344" s="41">
        <f>L330+L343</f>
        <v>525966.77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22572.3</v>
      </c>
      <c r="G350" s="18">
        <v>9544.35</v>
      </c>
      <c r="H350" s="18">
        <v>2496.62</v>
      </c>
      <c r="I350" s="18">
        <v>17543.099999999999</v>
      </c>
      <c r="J350" s="18">
        <v>964.37</v>
      </c>
      <c r="K350" s="18">
        <v>0</v>
      </c>
      <c r="L350" s="13">
        <f>SUM(F350:K350)</f>
        <v>53120.740000000005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14469.42</v>
      </c>
      <c r="G351" s="18">
        <v>6118.18</v>
      </c>
      <c r="H351" s="18">
        <v>1600.4</v>
      </c>
      <c r="I351" s="18">
        <v>11245.58</v>
      </c>
      <c r="J351" s="18">
        <v>618.19000000000005</v>
      </c>
      <c r="K351" s="18">
        <v>0</v>
      </c>
      <c r="L351" s="19">
        <f>SUM(F351:K351)</f>
        <v>34051.770000000004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20835.96</v>
      </c>
      <c r="G352" s="18">
        <v>8810.17</v>
      </c>
      <c r="H352" s="18">
        <v>2304.56</v>
      </c>
      <c r="I352" s="18">
        <v>16193.63</v>
      </c>
      <c r="J352" s="18">
        <v>890.19</v>
      </c>
      <c r="K352" s="18">
        <v>0</v>
      </c>
      <c r="L352" s="19">
        <f>SUM(F352:K352)</f>
        <v>49034.51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57877.68</v>
      </c>
      <c r="G354" s="47">
        <f t="shared" si="22"/>
        <v>24472.7</v>
      </c>
      <c r="H354" s="47">
        <f t="shared" si="22"/>
        <v>6401.58</v>
      </c>
      <c r="I354" s="47">
        <f t="shared" si="22"/>
        <v>44982.31</v>
      </c>
      <c r="J354" s="47">
        <f t="shared" si="22"/>
        <v>2472.75</v>
      </c>
      <c r="K354" s="47">
        <f t="shared" si="22"/>
        <v>0</v>
      </c>
      <c r="L354" s="47">
        <f t="shared" si="22"/>
        <v>136207.02000000002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14652.37</v>
      </c>
      <c r="G359" s="18">
        <v>9392.5400000000009</v>
      </c>
      <c r="H359" s="18">
        <v>13525.26</v>
      </c>
      <c r="I359" s="56">
        <f>SUM(F359:H359)</f>
        <v>37570.170000000006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2890.73</v>
      </c>
      <c r="G360" s="63">
        <v>1853.04</v>
      </c>
      <c r="H360" s="63">
        <v>2668.37</v>
      </c>
      <c r="I360" s="56">
        <f>SUM(F360:H360)</f>
        <v>7412.14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17543.100000000002</v>
      </c>
      <c r="G361" s="47">
        <f>SUM(G359:G360)</f>
        <v>11245.580000000002</v>
      </c>
      <c r="H361" s="47">
        <f>SUM(H359:H360)</f>
        <v>16193.630000000001</v>
      </c>
      <c r="I361" s="47">
        <f>SUM(I359:I360)</f>
        <v>44982.310000000005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0</v>
      </c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>
        <v>0</v>
      </c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0</v>
      </c>
      <c r="I371" s="18"/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20000</v>
      </c>
      <c r="H388" s="18">
        <v>186.8</v>
      </c>
      <c r="I388" s="18"/>
      <c r="J388" s="24" t="s">
        <v>312</v>
      </c>
      <c r="K388" s="24" t="s">
        <v>312</v>
      </c>
      <c r="L388" s="56">
        <f t="shared" si="26"/>
        <v>20186.8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115.11</v>
      </c>
      <c r="I389" s="18"/>
      <c r="J389" s="24" t="s">
        <v>312</v>
      </c>
      <c r="K389" s="24" t="s">
        <v>312</v>
      </c>
      <c r="L389" s="56">
        <f t="shared" si="26"/>
        <v>20115.11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40000</v>
      </c>
      <c r="H393" s="47">
        <f>SUM(H387:H392)</f>
        <v>301.91000000000003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40301.910000000003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40000</v>
      </c>
      <c r="H400" s="47">
        <f>H385+H393+H399</f>
        <v>301.91000000000003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40301.910000000003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118627.69</v>
      </c>
      <c r="H431" s="18"/>
      <c r="I431" s="56">
        <f t="shared" ref="I431:I437" si="33">SUM(F431:H431)</f>
        <v>118627.69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118627.69</v>
      </c>
      <c r="H438" s="13">
        <f>SUM(H431:H437)</f>
        <v>0</v>
      </c>
      <c r="I438" s="13">
        <f>SUM(I431:I437)</f>
        <v>118627.69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118627.69</v>
      </c>
      <c r="H449" s="18"/>
      <c r="I449" s="56">
        <f>SUM(F449:H449)</f>
        <v>118627.69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118627.69</v>
      </c>
      <c r="H450" s="83">
        <f>SUM(H446:H449)</f>
        <v>0</v>
      </c>
      <c r="I450" s="83">
        <f>SUM(I446:I449)</f>
        <v>118627.69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118627.69</v>
      </c>
      <c r="H451" s="42">
        <f>H444+H450</f>
        <v>0</v>
      </c>
      <c r="I451" s="42">
        <f>I444+I450</f>
        <v>118627.69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97041.29</v>
      </c>
      <c r="G455" s="18">
        <v>7407.63</v>
      </c>
      <c r="H455" s="18">
        <v>5238.4399999999996</v>
      </c>
      <c r="I455" s="18"/>
      <c r="J455" s="18">
        <v>78325.78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5213768.08</v>
      </c>
      <c r="G458" s="18">
        <v>134214.93</v>
      </c>
      <c r="H458" s="18">
        <v>524372.46</v>
      </c>
      <c r="I458" s="18"/>
      <c r="J458" s="18">
        <v>40301.910000000003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5213768.08</v>
      </c>
      <c r="G460" s="53">
        <f>SUM(G458:G459)</f>
        <v>134214.93</v>
      </c>
      <c r="H460" s="53">
        <f>SUM(H458:H459)</f>
        <v>524372.46</v>
      </c>
      <c r="I460" s="53">
        <f>SUM(I458:I459)</f>
        <v>0</v>
      </c>
      <c r="J460" s="53">
        <f>SUM(J458:J459)</f>
        <v>40301.910000000003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5222915.12</v>
      </c>
      <c r="G462" s="18">
        <v>136207.01999999999</v>
      </c>
      <c r="H462" s="18">
        <v>525966.77</v>
      </c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5222915.12</v>
      </c>
      <c r="G464" s="53">
        <f>SUM(G462:G463)</f>
        <v>136207.01999999999</v>
      </c>
      <c r="H464" s="53">
        <f>SUM(H462:H463)</f>
        <v>525966.77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87894.25</v>
      </c>
      <c r="G466" s="53">
        <f>(G455+G460)- G464</f>
        <v>5415.5400000000081</v>
      </c>
      <c r="H466" s="53">
        <f>(H455+H460)- H464</f>
        <v>3644.1299999998882</v>
      </c>
      <c r="I466" s="53">
        <f>(I455+I460)- I464</f>
        <v>0</v>
      </c>
      <c r="J466" s="53">
        <f>(J455+J460)- J464</f>
        <v>118627.69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979939.45</v>
      </c>
      <c r="G483" s="18">
        <v>1995190</v>
      </c>
      <c r="H483" s="18">
        <v>197233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8.5</v>
      </c>
      <c r="G484" s="18">
        <v>3.8</v>
      </c>
      <c r="H484" s="18">
        <v>3.88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88715.7</v>
      </c>
      <c r="G485" s="18">
        <v>905000</v>
      </c>
      <c r="H485" s="18">
        <v>197233</v>
      </c>
      <c r="I485" s="18"/>
      <c r="J485" s="18"/>
      <c r="K485" s="53">
        <f>SUM(F485:J485)</f>
        <v>1190948.7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24698.1</v>
      </c>
      <c r="G487" s="18">
        <v>210000</v>
      </c>
      <c r="H487" s="18">
        <v>39446.6</v>
      </c>
      <c r="I487" s="18"/>
      <c r="J487" s="18"/>
      <c r="K487" s="53">
        <f t="shared" si="34"/>
        <v>274144.7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64017.599999999999</v>
      </c>
      <c r="G488" s="205">
        <v>695000</v>
      </c>
      <c r="H488" s="205">
        <v>157786.4</v>
      </c>
      <c r="I488" s="205"/>
      <c r="J488" s="205"/>
      <c r="K488" s="206">
        <f t="shared" si="34"/>
        <v>916804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255982.4</v>
      </c>
      <c r="G489" s="18">
        <v>42700</v>
      </c>
      <c r="H489" s="18">
        <v>15293.94</v>
      </c>
      <c r="I489" s="18"/>
      <c r="J489" s="18"/>
      <c r="K489" s="53">
        <f t="shared" si="34"/>
        <v>313976.34000000003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320000</v>
      </c>
      <c r="G490" s="42">
        <f>SUM(G488:G489)</f>
        <v>737700</v>
      </c>
      <c r="H490" s="42">
        <f>SUM(H488:H489)</f>
        <v>173080.34</v>
      </c>
      <c r="I490" s="42">
        <f>SUM(I488:I489)</f>
        <v>0</v>
      </c>
      <c r="J490" s="42">
        <f>SUM(J488:J489)</f>
        <v>0</v>
      </c>
      <c r="K490" s="42">
        <f t="shared" si="34"/>
        <v>1230780.3400000001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23819.4</v>
      </c>
      <c r="G491" s="205">
        <v>220000</v>
      </c>
      <c r="H491" s="205">
        <v>39446.6</v>
      </c>
      <c r="I491" s="205"/>
      <c r="J491" s="205"/>
      <c r="K491" s="206">
        <f t="shared" si="34"/>
        <v>283266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86180.6</v>
      </c>
      <c r="G492" s="18">
        <v>23400</v>
      </c>
      <c r="H492" s="18">
        <v>6114.22</v>
      </c>
      <c r="I492" s="18"/>
      <c r="J492" s="18"/>
      <c r="K492" s="53">
        <f t="shared" si="34"/>
        <v>115694.82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110000</v>
      </c>
      <c r="G493" s="42">
        <f>SUM(G491:G492)</f>
        <v>243400</v>
      </c>
      <c r="H493" s="42">
        <f>SUM(H491:H492)</f>
        <v>45560.82</v>
      </c>
      <c r="I493" s="42">
        <f>SUM(I491:I492)</f>
        <v>0</v>
      </c>
      <c r="J493" s="42">
        <f>SUM(J491:J492)</f>
        <v>0</v>
      </c>
      <c r="K493" s="42">
        <f t="shared" si="34"/>
        <v>398960.82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3216418.97</v>
      </c>
      <c r="G503" s="24" t="s">
        <v>312</v>
      </c>
      <c r="H503" s="18">
        <v>196983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8612.8700000000008</v>
      </c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88595.08</v>
      </c>
      <c r="H506" s="24" t="s">
        <v>312</v>
      </c>
      <c r="I506" s="18">
        <v>3333419.76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3225031.8400000003</v>
      </c>
      <c r="G507" s="42">
        <f>SUM(G501:G506)</f>
        <v>88595.08</v>
      </c>
      <c r="H507" s="42">
        <f>SUM(H501:H506)</f>
        <v>196983</v>
      </c>
      <c r="I507" s="42">
        <f>SUM(I501:I506)</f>
        <v>3333419.76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136011.38</v>
      </c>
      <c r="G511" s="18">
        <v>55508.41</v>
      </c>
      <c r="H511" s="18">
        <v>2898.2</v>
      </c>
      <c r="I511" s="18">
        <v>0.03</v>
      </c>
      <c r="J511" s="18">
        <v>0</v>
      </c>
      <c r="K511" s="18"/>
      <c r="L511" s="88">
        <f>SUM(F511:K511)</f>
        <v>194418.02000000002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78542.47</v>
      </c>
      <c r="G512" s="18">
        <v>27994.37</v>
      </c>
      <c r="H512" s="18">
        <v>301757.90000000002</v>
      </c>
      <c r="I512" s="18">
        <v>0</v>
      </c>
      <c r="J512" s="18">
        <v>0</v>
      </c>
      <c r="K512" s="18"/>
      <c r="L512" s="88">
        <f>SUM(F512:K512)</f>
        <v>408294.74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45086.46</v>
      </c>
      <c r="G513" s="18">
        <v>19554.66</v>
      </c>
      <c r="H513" s="18">
        <v>61825.58</v>
      </c>
      <c r="I513" s="18">
        <v>0</v>
      </c>
      <c r="J513" s="18">
        <v>0</v>
      </c>
      <c r="K513" s="18"/>
      <c r="L513" s="88">
        <f>SUM(F513:K513)</f>
        <v>126466.7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259640.31</v>
      </c>
      <c r="G514" s="108">
        <f t="shared" ref="G514:L514" si="35">SUM(G511:G513)</f>
        <v>103057.44</v>
      </c>
      <c r="H514" s="108">
        <f t="shared" si="35"/>
        <v>366481.68000000005</v>
      </c>
      <c r="I514" s="108">
        <f t="shared" si="35"/>
        <v>0.03</v>
      </c>
      <c r="J514" s="108">
        <f t="shared" si="35"/>
        <v>0</v>
      </c>
      <c r="K514" s="108">
        <f t="shared" si="35"/>
        <v>0</v>
      </c>
      <c r="L514" s="89">
        <f t="shared" si="35"/>
        <v>729179.46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35242.370000000003</v>
      </c>
      <c r="I516" s="18"/>
      <c r="J516" s="18"/>
      <c r="K516" s="18"/>
      <c r="L516" s="88">
        <f>SUM(F516:K516)</f>
        <v>35242.370000000003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22591.27</v>
      </c>
      <c r="I517" s="18"/>
      <c r="J517" s="18"/>
      <c r="K517" s="18"/>
      <c r="L517" s="88">
        <f>SUM(F517:K517)</f>
        <v>22591.27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32531.42</v>
      </c>
      <c r="I518" s="18"/>
      <c r="J518" s="18"/>
      <c r="K518" s="18"/>
      <c r="L518" s="88">
        <f>SUM(F518:K518)</f>
        <v>32531.42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90365.06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90365.06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14289.22</v>
      </c>
      <c r="I531" s="18"/>
      <c r="J531" s="18"/>
      <c r="K531" s="18"/>
      <c r="L531" s="88">
        <f>SUM(F531:K531)</f>
        <v>14289.22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9159.76</v>
      </c>
      <c r="I532" s="18"/>
      <c r="J532" s="18"/>
      <c r="K532" s="18"/>
      <c r="L532" s="88">
        <f>SUM(F532:K532)</f>
        <v>9159.76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13190.05</v>
      </c>
      <c r="I533" s="18"/>
      <c r="J533" s="18"/>
      <c r="K533" s="18"/>
      <c r="L533" s="88">
        <f>SUM(F533:K533)</f>
        <v>13190.05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36639.03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36639.03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259640.31</v>
      </c>
      <c r="G535" s="89">
        <f t="shared" ref="G535:L535" si="40">G514+G519+G524+G529+G534</f>
        <v>103057.44</v>
      </c>
      <c r="H535" s="89">
        <f t="shared" si="40"/>
        <v>493485.77</v>
      </c>
      <c r="I535" s="89">
        <f t="shared" si="40"/>
        <v>0.03</v>
      </c>
      <c r="J535" s="89">
        <f t="shared" si="40"/>
        <v>0</v>
      </c>
      <c r="K535" s="89">
        <f t="shared" si="40"/>
        <v>0</v>
      </c>
      <c r="L535" s="89">
        <f t="shared" si="40"/>
        <v>856183.55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194418.02000000002</v>
      </c>
      <c r="G539" s="87">
        <f>L516</f>
        <v>35242.370000000003</v>
      </c>
      <c r="H539" s="87">
        <f>L521</f>
        <v>0</v>
      </c>
      <c r="I539" s="87">
        <f>L526</f>
        <v>0</v>
      </c>
      <c r="J539" s="87">
        <f>L531</f>
        <v>14289.22</v>
      </c>
      <c r="K539" s="87">
        <f>SUM(F539:J539)</f>
        <v>243949.61000000002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408294.74</v>
      </c>
      <c r="G540" s="87">
        <f>L517</f>
        <v>22591.27</v>
      </c>
      <c r="H540" s="87">
        <f>L522</f>
        <v>0</v>
      </c>
      <c r="I540" s="87">
        <f>L527</f>
        <v>0</v>
      </c>
      <c r="J540" s="87">
        <f>L532</f>
        <v>9159.76</v>
      </c>
      <c r="K540" s="87">
        <f>SUM(F540:J540)</f>
        <v>440045.77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126466.7</v>
      </c>
      <c r="G541" s="87">
        <f>L518</f>
        <v>32531.42</v>
      </c>
      <c r="H541" s="87">
        <f>L523</f>
        <v>0</v>
      </c>
      <c r="I541" s="87">
        <f>L528</f>
        <v>0</v>
      </c>
      <c r="J541" s="87">
        <f>L533</f>
        <v>13190.05</v>
      </c>
      <c r="K541" s="87">
        <f>SUM(F541:J541)</f>
        <v>172188.16999999998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729179.46</v>
      </c>
      <c r="G542" s="89">
        <f t="shared" si="41"/>
        <v>90365.06</v>
      </c>
      <c r="H542" s="89">
        <f t="shared" si="41"/>
        <v>0</v>
      </c>
      <c r="I542" s="89">
        <f t="shared" si="41"/>
        <v>0</v>
      </c>
      <c r="J542" s="89">
        <f t="shared" si="41"/>
        <v>36639.03</v>
      </c>
      <c r="K542" s="89">
        <f t="shared" si="41"/>
        <v>856183.55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>
        <v>3129.89</v>
      </c>
      <c r="I557" s="18"/>
      <c r="J557" s="18"/>
      <c r="K557" s="18"/>
      <c r="L557" s="88">
        <f>SUM(F557:K557)</f>
        <v>3129.89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3129.89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3129.89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3129.89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3129.89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17885.84</v>
      </c>
      <c r="H569" s="18">
        <v>0</v>
      </c>
      <c r="I569" s="87">
        <f t="shared" si="46"/>
        <v>17885.84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2898.2</v>
      </c>
      <c r="G572" s="18">
        <v>160248.53</v>
      </c>
      <c r="H572" s="18">
        <v>61825.58</v>
      </c>
      <c r="I572" s="87">
        <f t="shared" si="46"/>
        <v>224972.31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v>123623.53</v>
      </c>
      <c r="H573" s="18"/>
      <c r="I573" s="87">
        <f t="shared" si="46"/>
        <v>123623.53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30895.16</v>
      </c>
      <c r="I574" s="87">
        <f t="shared" si="46"/>
        <v>30895.16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42661.32</v>
      </c>
      <c r="I581" s="18">
        <v>27347</v>
      </c>
      <c r="J581" s="18">
        <v>39379.68</v>
      </c>
      <c r="K581" s="104">
        <f t="shared" ref="K581:K587" si="47">SUM(H581:J581)</f>
        <v>109388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14289.22</v>
      </c>
      <c r="I582" s="18">
        <v>9159.76</v>
      </c>
      <c r="J582" s="18">
        <v>13190.05</v>
      </c>
      <c r="K582" s="104">
        <f t="shared" si="47"/>
        <v>36639.03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22360</v>
      </c>
      <c r="K583" s="104">
        <f t="shared" si="47"/>
        <v>22360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8289.1200000000008</v>
      </c>
      <c r="J584" s="18">
        <v>21314.62</v>
      </c>
      <c r="K584" s="104">
        <f t="shared" si="47"/>
        <v>29603.739999999998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3835.26</v>
      </c>
      <c r="I585" s="18">
        <v>2458.5</v>
      </c>
      <c r="J585" s="18">
        <v>3540.24</v>
      </c>
      <c r="K585" s="104">
        <f t="shared" si="47"/>
        <v>9834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60785.8</v>
      </c>
      <c r="I588" s="108">
        <f>SUM(I581:I587)</f>
        <v>47254.380000000005</v>
      </c>
      <c r="J588" s="108">
        <f>SUM(J581:J587)</f>
        <v>99784.59</v>
      </c>
      <c r="K588" s="108">
        <f>SUM(K581:K587)</f>
        <v>207824.77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60192.72</v>
      </c>
      <c r="I594" s="18">
        <v>16623.16</v>
      </c>
      <c r="J594" s="18">
        <v>71173.279999999999</v>
      </c>
      <c r="K594" s="104">
        <f>SUM(H594:J594)</f>
        <v>147989.16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60192.72</v>
      </c>
      <c r="I595" s="108">
        <f>SUM(I592:I594)</f>
        <v>16623.16</v>
      </c>
      <c r="J595" s="108">
        <f>SUM(J592:J594)</f>
        <v>71173.279999999999</v>
      </c>
      <c r="K595" s="108">
        <f>SUM(K592:K594)</f>
        <v>147989.16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9440.7000000000007</v>
      </c>
      <c r="G601" s="18">
        <v>1511.79</v>
      </c>
      <c r="H601" s="18">
        <v>0</v>
      </c>
      <c r="I601" s="18">
        <v>0</v>
      </c>
      <c r="J601" s="18"/>
      <c r="K601" s="18"/>
      <c r="L601" s="88">
        <f>SUM(F601:K601)</f>
        <v>10952.490000000002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2032.5</v>
      </c>
      <c r="G602" s="18">
        <v>317.68</v>
      </c>
      <c r="H602" s="18">
        <v>0</v>
      </c>
      <c r="I602" s="18">
        <v>0</v>
      </c>
      <c r="J602" s="18"/>
      <c r="K602" s="18"/>
      <c r="L602" s="88">
        <f>SUM(F602:K602)</f>
        <v>2350.1799999999998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2926.8</v>
      </c>
      <c r="G603" s="18">
        <v>457.46</v>
      </c>
      <c r="H603" s="18">
        <v>0</v>
      </c>
      <c r="I603" s="18">
        <v>0</v>
      </c>
      <c r="J603" s="18"/>
      <c r="K603" s="18"/>
      <c r="L603" s="88">
        <f>SUM(F603:K603)</f>
        <v>3384.26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14400</v>
      </c>
      <c r="G604" s="108">
        <f t="shared" si="48"/>
        <v>2286.9299999999998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16686.93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183554.49</v>
      </c>
      <c r="H607" s="109">
        <f>SUM(F44)</f>
        <v>183554.49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5415.54</v>
      </c>
      <c r="H608" s="109">
        <f>SUM(G44)</f>
        <v>5415.54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9644.1300000000047</v>
      </c>
      <c r="H609" s="109">
        <f>SUM(H44)</f>
        <v>9644.130000000001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118627.69</v>
      </c>
      <c r="H611" s="109">
        <f>SUM(J44)</f>
        <v>118627.69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87894.25</v>
      </c>
      <c r="H612" s="109">
        <f>F466</f>
        <v>87894.25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5415.54</v>
      </c>
      <c r="H613" s="109">
        <f>G466</f>
        <v>5415.5400000000081</v>
      </c>
      <c r="I613" s="121" t="s">
        <v>108</v>
      </c>
      <c r="J613" s="109">
        <f t="shared" si="49"/>
        <v>-8.1854523159563541E-12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3644.13</v>
      </c>
      <c r="H614" s="109">
        <f>H466</f>
        <v>3644.1299999998882</v>
      </c>
      <c r="I614" s="121" t="s">
        <v>110</v>
      </c>
      <c r="J614" s="109">
        <f t="shared" si="49"/>
        <v>1.1186784831807017E-10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118627.69</v>
      </c>
      <c r="H616" s="109">
        <f>J466</f>
        <v>118627.69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5213768.08</v>
      </c>
      <c r="H617" s="104">
        <f>SUM(F458)</f>
        <v>5213768.08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134214.93</v>
      </c>
      <c r="H618" s="104">
        <f>SUM(G458)</f>
        <v>134214.93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524372.46</v>
      </c>
      <c r="H619" s="104">
        <f>SUM(H458)</f>
        <v>524372.46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40301.910000000003</v>
      </c>
      <c r="H621" s="104">
        <f>SUM(J458)</f>
        <v>40301.910000000003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5222915.12</v>
      </c>
      <c r="H622" s="104">
        <f>SUM(F462)</f>
        <v>5222915.12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525966.77</v>
      </c>
      <c r="H623" s="104">
        <f>SUM(H462)</f>
        <v>525966.77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44982.31</v>
      </c>
      <c r="H624" s="104">
        <f>I361</f>
        <v>44982.310000000005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136207.02000000002</v>
      </c>
      <c r="H625" s="104">
        <f>SUM(G462)</f>
        <v>136207.01999999999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40301.910000000003</v>
      </c>
      <c r="H627" s="164">
        <f>SUM(J458)</f>
        <v>40301.910000000003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118627.69</v>
      </c>
      <c r="H630" s="104">
        <f>SUM(G451)</f>
        <v>118627.69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118627.69</v>
      </c>
      <c r="H632" s="104">
        <f>SUM(I451)</f>
        <v>118627.69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301.91000000000003</v>
      </c>
      <c r="H634" s="104">
        <f>H400</f>
        <v>301.91000000000003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40000</v>
      </c>
      <c r="H635" s="104">
        <f>G400</f>
        <v>40000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40301.910000000003</v>
      </c>
      <c r="H636" s="104">
        <f>L400</f>
        <v>40301.910000000003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207824.77</v>
      </c>
      <c r="H637" s="104">
        <f>L200+L218+L236</f>
        <v>207824.77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147989.16</v>
      </c>
      <c r="H638" s="104">
        <f>(J249+J330)-(J247+J328)</f>
        <v>147989.16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60785.8</v>
      </c>
      <c r="H639" s="104">
        <f>H588</f>
        <v>60785.8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47254.38</v>
      </c>
      <c r="H640" s="104">
        <f>I588</f>
        <v>47254.380000000005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99784.59</v>
      </c>
      <c r="H641" s="104">
        <f>J588</f>
        <v>99784.59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40000</v>
      </c>
      <c r="H645" s="104">
        <f>K258+K339</f>
        <v>40000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2136066.31</v>
      </c>
      <c r="G650" s="19">
        <f>(L221+L301+L351)</f>
        <v>1473304.6099999999</v>
      </c>
      <c r="H650" s="19">
        <f>(L239+L320+L352)</f>
        <v>1825251.3900000006</v>
      </c>
      <c r="I650" s="19">
        <f>SUM(F650:H650)</f>
        <v>5434622.3100000005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20780.448860624067</v>
      </c>
      <c r="G651" s="19">
        <f>(L351/IF(SUM(L350:L352)=0,1,SUM(L350:L352))*(SUM(G89:G102)))</f>
        <v>13320.805867891391</v>
      </c>
      <c r="H651" s="19">
        <f>(L352/IF(SUM(L350:L352)=0,1,SUM(L350:L352))*(SUM(G89:G102)))</f>
        <v>19181.945271484536</v>
      </c>
      <c r="I651" s="19">
        <f>SUM(F651:H651)</f>
        <v>53283.199999999997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60785.8</v>
      </c>
      <c r="G652" s="19">
        <f>(L218+L298)-(J218+J298)</f>
        <v>47254.38</v>
      </c>
      <c r="H652" s="19">
        <f>(L236+L317)-(J236+J317)</f>
        <v>99784.59</v>
      </c>
      <c r="I652" s="19">
        <f>SUM(F652:H652)</f>
        <v>207824.77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74043.41</v>
      </c>
      <c r="G653" s="200">
        <f>SUM(G565:G577)+SUM(I592:I594)+L602</f>
        <v>320731.24</v>
      </c>
      <c r="H653" s="200">
        <f>SUM(H565:H577)+SUM(J592:J594)+L603</f>
        <v>167278.28000000003</v>
      </c>
      <c r="I653" s="19">
        <f>SUM(F653:H653)</f>
        <v>562052.93000000005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1980456.651139376</v>
      </c>
      <c r="G654" s="19">
        <f>G650-SUM(G651:G653)</f>
        <v>1091998.1841321085</v>
      </c>
      <c r="H654" s="19">
        <f>H650-SUM(H651:H653)</f>
        <v>1539006.5747285159</v>
      </c>
      <c r="I654" s="19">
        <f>I650-SUM(I651:I653)</f>
        <v>4611461.41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139.91</v>
      </c>
      <c r="G655" s="249">
        <v>99.81</v>
      </c>
      <c r="H655" s="249">
        <v>125.2</v>
      </c>
      <c r="I655" s="19">
        <f>SUM(F655:H655)</f>
        <v>364.92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14155.22</v>
      </c>
      <c r="G657" s="19">
        <f>ROUND(G654/G655,2)</f>
        <v>10940.77</v>
      </c>
      <c r="H657" s="19">
        <f>ROUND(H654/H655,2)</f>
        <v>12292.38</v>
      </c>
      <c r="I657" s="19">
        <f>ROUND(I654/I655,2)</f>
        <v>12636.91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-6.78</v>
      </c>
      <c r="I660" s="19">
        <f>SUM(F660:H660)</f>
        <v>-6.78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14155.22</v>
      </c>
      <c r="G662" s="19">
        <f>ROUND((G654+G659)/(G655+G660),2)</f>
        <v>10940.77</v>
      </c>
      <c r="H662" s="19">
        <f>ROUND((H654+H659)/(H655+H660),2)</f>
        <v>12996.17</v>
      </c>
      <c r="I662" s="19">
        <f>ROUND((I654+I659)/(I655+I660),2)</f>
        <v>12876.14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3552-9B6A-4F90-BE59-A849C42860B2}">
  <sheetPr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LISBON REGIONAL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1559180.03</v>
      </c>
      <c r="C9" s="230">
        <f>'DOE25'!G189+'DOE25'!G207+'DOE25'!G225+'DOE25'!G268+'DOE25'!G287+'DOE25'!G306</f>
        <v>604385.61</v>
      </c>
    </row>
    <row r="10" spans="1:3" x14ac:dyDescent="0.2">
      <c r="A10" t="s">
        <v>813</v>
      </c>
      <c r="B10" s="241">
        <v>1532890.98</v>
      </c>
      <c r="C10" s="241">
        <v>599653.57999999996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26289.05</v>
      </c>
      <c r="C12" s="241">
        <v>4732.03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1559180.03</v>
      </c>
      <c r="C13" s="232">
        <f>SUM(C10:C12)</f>
        <v>604385.61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430140.74</v>
      </c>
      <c r="C18" s="230">
        <f>'DOE25'!G190+'DOE25'!G208+'DOE25'!G226+'DOE25'!G269+'DOE25'!G288+'DOE25'!G307</f>
        <v>169187.51</v>
      </c>
    </row>
    <row r="19" spans="1:3" x14ac:dyDescent="0.2">
      <c r="A19" t="s">
        <v>813</v>
      </c>
      <c r="B19" s="241">
        <v>279777.75</v>
      </c>
      <c r="C19" s="241">
        <v>125199.35</v>
      </c>
    </row>
    <row r="20" spans="1:3" x14ac:dyDescent="0.2">
      <c r="A20" t="s">
        <v>814</v>
      </c>
      <c r="B20" s="241">
        <v>138512.99</v>
      </c>
      <c r="C20" s="241">
        <v>43081.63</v>
      </c>
    </row>
    <row r="21" spans="1:3" x14ac:dyDescent="0.2">
      <c r="A21" t="s">
        <v>815</v>
      </c>
      <c r="B21" s="241">
        <v>11850</v>
      </c>
      <c r="C21" s="241">
        <v>906.53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430140.74</v>
      </c>
      <c r="C22" s="232">
        <f>SUM(C19:C21)</f>
        <v>169187.51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120253.5</v>
      </c>
      <c r="C27" s="235">
        <f>'DOE25'!G191+'DOE25'!G209+'DOE25'!G227+'DOE25'!G270+'DOE25'!G289+'DOE25'!G308</f>
        <v>31505.56</v>
      </c>
    </row>
    <row r="28" spans="1:3" x14ac:dyDescent="0.2">
      <c r="A28" t="s">
        <v>813</v>
      </c>
      <c r="B28" s="241">
        <v>120253.5</v>
      </c>
      <c r="C28" s="241">
        <v>31505.56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120253.5</v>
      </c>
      <c r="C31" s="232">
        <f>SUM(C28:C30)</f>
        <v>31505.56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67448.989999999991</v>
      </c>
      <c r="C36" s="236">
        <f>'DOE25'!G192+'DOE25'!G210+'DOE25'!G228+'DOE25'!G271+'DOE25'!G290+'DOE25'!G309</f>
        <v>9378.5299999999988</v>
      </c>
    </row>
    <row r="37" spans="1:3" x14ac:dyDescent="0.2">
      <c r="A37" t="s">
        <v>813</v>
      </c>
      <c r="B37" s="241">
        <v>67448.990000000005</v>
      </c>
      <c r="C37" s="241">
        <v>9378.5300000000007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67448.990000000005</v>
      </c>
      <c r="C40" s="232">
        <f>SUM(C37:C39)</f>
        <v>9378.5300000000007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543-6D15-400D-AEB0-F0D1C36CAFDC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LISBON REGIONAL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3214719.31</v>
      </c>
      <c r="D5" s="20">
        <f>SUM('DOE25'!L189:L192)+SUM('DOE25'!L207:L210)+SUM('DOE25'!L225:L228)-F5-G5</f>
        <v>3192848.5500000003</v>
      </c>
      <c r="E5" s="244"/>
      <c r="F5" s="256">
        <f>SUM('DOE25'!J189:J192)+SUM('DOE25'!J207:J210)+SUM('DOE25'!J225:J228)</f>
        <v>11353.92</v>
      </c>
      <c r="G5" s="53">
        <f>SUM('DOE25'!K189:K192)+SUM('DOE25'!K207:K210)+SUM('DOE25'!K225:K228)</f>
        <v>10516.84</v>
      </c>
      <c r="H5" s="260"/>
    </row>
    <row r="6" spans="1:9" x14ac:dyDescent="0.2">
      <c r="A6" s="32">
        <v>2100</v>
      </c>
      <c r="B6" t="s">
        <v>835</v>
      </c>
      <c r="C6" s="246">
        <f t="shared" si="0"/>
        <v>313493.38</v>
      </c>
      <c r="D6" s="20">
        <f>'DOE25'!L194+'DOE25'!L212+'DOE25'!L230-F6-G6</f>
        <v>313493.38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77363.86</v>
      </c>
      <c r="D7" s="20">
        <f>'DOE25'!L195+'DOE25'!L213+'DOE25'!L231-F7-G7</f>
        <v>60092.53</v>
      </c>
      <c r="E7" s="244"/>
      <c r="F7" s="256">
        <f>'DOE25'!J195+'DOE25'!J213+'DOE25'!J231</f>
        <v>3299</v>
      </c>
      <c r="G7" s="53">
        <f>'DOE25'!K195+'DOE25'!K213+'DOE25'!K231</f>
        <v>13972.33</v>
      </c>
      <c r="H7" s="260"/>
    </row>
    <row r="8" spans="1:9" x14ac:dyDescent="0.2">
      <c r="A8" s="32">
        <v>2300</v>
      </c>
      <c r="B8" t="s">
        <v>836</v>
      </c>
      <c r="C8" s="246">
        <f t="shared" si="0"/>
        <v>150283.41</v>
      </c>
      <c r="D8" s="244"/>
      <c r="E8" s="20">
        <f>'DOE25'!L196+'DOE25'!L214+'DOE25'!L232-F8-G8-D9-D11</f>
        <v>136299.9</v>
      </c>
      <c r="F8" s="256">
        <f>'DOE25'!J196+'DOE25'!J214+'DOE25'!J232</f>
        <v>0</v>
      </c>
      <c r="G8" s="53">
        <f>'DOE25'!K196+'DOE25'!K214+'DOE25'!K232</f>
        <v>13983.510000000002</v>
      </c>
      <c r="H8" s="260"/>
    </row>
    <row r="9" spans="1:9" x14ac:dyDescent="0.2">
      <c r="A9" s="32">
        <v>2310</v>
      </c>
      <c r="B9" t="s">
        <v>852</v>
      </c>
      <c r="C9" s="246">
        <f t="shared" si="0"/>
        <v>51159.89</v>
      </c>
      <c r="D9" s="245">
        <v>51159.89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8316</v>
      </c>
      <c r="D10" s="244"/>
      <c r="E10" s="245">
        <v>8316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26520.6</v>
      </c>
      <c r="D11" s="245">
        <v>26520.6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259909.55</v>
      </c>
      <c r="D12" s="20">
        <f>'DOE25'!L197+'DOE25'!L215+'DOE25'!L233-F12-G12</f>
        <v>251747.49</v>
      </c>
      <c r="E12" s="244"/>
      <c r="F12" s="256">
        <f>'DOE25'!J197+'DOE25'!J215+'DOE25'!J233</f>
        <v>1035</v>
      </c>
      <c r="G12" s="53">
        <f>'DOE25'!K197+'DOE25'!K215+'DOE25'!K233</f>
        <v>7127.0599999999995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366538.39</v>
      </c>
      <c r="D14" s="20">
        <f>'DOE25'!L199+'DOE25'!L217+'DOE25'!L235-F14-G14</f>
        <v>353906.69</v>
      </c>
      <c r="E14" s="244"/>
      <c r="F14" s="256">
        <f>'DOE25'!J199+'DOE25'!J217+'DOE25'!J235</f>
        <v>12631.7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207824.77</v>
      </c>
      <c r="D15" s="20">
        <f>'DOE25'!L200+'DOE25'!L218+'DOE25'!L236-F15-G15</f>
        <v>207824.77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121012.57999999999</v>
      </c>
      <c r="D16" s="244"/>
      <c r="E16" s="20">
        <f>'DOE25'!L201+'DOE25'!L219+'DOE25'!L237-F16-G16</f>
        <v>70994.399999999994</v>
      </c>
      <c r="F16" s="256">
        <f>'DOE25'!J201+'DOE25'!J219+'DOE25'!J237</f>
        <v>50018.18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394089.38</v>
      </c>
      <c r="D25" s="244"/>
      <c r="E25" s="244"/>
      <c r="F25" s="259"/>
      <c r="G25" s="257"/>
      <c r="H25" s="258">
        <f>'DOE25'!L252+'DOE25'!L253+'DOE25'!L333+'DOE25'!L334</f>
        <v>394089.38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98636.85</v>
      </c>
      <c r="D29" s="20">
        <f>'DOE25'!L350+'DOE25'!L351+'DOE25'!L352-'DOE25'!I359-F29-G29</f>
        <v>96164.1</v>
      </c>
      <c r="E29" s="244"/>
      <c r="F29" s="256">
        <f>'DOE25'!J350+'DOE25'!J351+'DOE25'!J352</f>
        <v>2472.75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525966.77</v>
      </c>
      <c r="D31" s="20">
        <f>'DOE25'!L282+'DOE25'!L301+'DOE25'!L320+'DOE25'!L325+'DOE25'!L326+'DOE25'!L327-F31-G31</f>
        <v>447117.60000000003</v>
      </c>
      <c r="E31" s="244"/>
      <c r="F31" s="256">
        <f>'DOE25'!J282+'DOE25'!J301+'DOE25'!J320+'DOE25'!J325+'DOE25'!J326+'DOE25'!J327</f>
        <v>69651.360000000001</v>
      </c>
      <c r="G31" s="53">
        <f>'DOE25'!K282+'DOE25'!K301+'DOE25'!K320+'DOE25'!K325+'DOE25'!K326+'DOE25'!K327</f>
        <v>9197.81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5000875.5999999996</v>
      </c>
      <c r="E33" s="247">
        <f>SUM(E5:E31)</f>
        <v>215610.3</v>
      </c>
      <c r="F33" s="247">
        <f>SUM(F5:F31)</f>
        <v>150461.91</v>
      </c>
      <c r="G33" s="247">
        <f>SUM(G5:G31)</f>
        <v>54797.549999999996</v>
      </c>
      <c r="H33" s="247">
        <f>SUM(H5:H31)</f>
        <v>394089.38</v>
      </c>
    </row>
    <row r="35" spans="2:8" ht="12" thickBot="1" x14ac:dyDescent="0.25">
      <c r="B35" s="254" t="s">
        <v>881</v>
      </c>
      <c r="D35" s="255">
        <f>E33</f>
        <v>215610.3</v>
      </c>
      <c r="E35" s="250"/>
    </row>
    <row r="36" spans="2:8" ht="12" thickTop="1" x14ac:dyDescent="0.2">
      <c r="B36" t="s">
        <v>849</v>
      </c>
      <c r="D36" s="20">
        <f>D33</f>
        <v>5000875.5999999996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08EE-3EB9-4890-B924-644D8E1BCC1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179659.71</v>
      </c>
      <c r="D9" s="95">
        <f>'DOE25'!G9</f>
        <v>-5838.47</v>
      </c>
      <c r="E9" s="95">
        <f>'DOE25'!H9</f>
        <v>-85118.25</v>
      </c>
      <c r="F9" s="95">
        <f>'DOE25'!I9</f>
        <v>0</v>
      </c>
      <c r="G9" s="95">
        <f>'DOE25'!J9</f>
        <v>118627.69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11254.01</v>
      </c>
      <c r="E13" s="95">
        <f>'DOE25'!H13</f>
        <v>94762.38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3894.78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183554.49</v>
      </c>
      <c r="D19" s="41">
        <f>SUM(D9:D18)</f>
        <v>5415.54</v>
      </c>
      <c r="E19" s="41">
        <f>SUM(E9:E18)</f>
        <v>9644.1300000000047</v>
      </c>
      <c r="F19" s="41">
        <f>SUM(F9:F18)</f>
        <v>0</v>
      </c>
      <c r="G19" s="41">
        <f>SUM(G9:G18)</f>
        <v>118627.69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95660.24</v>
      </c>
      <c r="D24" s="95">
        <f>'DOE25'!G25</f>
        <v>0</v>
      </c>
      <c r="E24" s="95">
        <f>'DOE25'!H25</f>
        <v>6000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95660.24</v>
      </c>
      <c r="D32" s="41">
        <f>SUM(D22:D31)</f>
        <v>0</v>
      </c>
      <c r="E32" s="41">
        <f>SUM(E22:E31)</f>
        <v>6000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5415.54</v>
      </c>
      <c r="E40" s="95">
        <f>'DOE25'!H41</f>
        <v>3644.13</v>
      </c>
      <c r="F40" s="95">
        <f>'DOE25'!I41</f>
        <v>0</v>
      </c>
      <c r="G40" s="95">
        <f>'DOE25'!J41</f>
        <v>118627.69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87894.25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87894.25</v>
      </c>
      <c r="D42" s="41">
        <f>SUM(D34:D41)</f>
        <v>5415.54</v>
      </c>
      <c r="E42" s="41">
        <f>SUM(E34:E41)</f>
        <v>3644.13</v>
      </c>
      <c r="F42" s="41">
        <f>SUM(F34:F41)</f>
        <v>0</v>
      </c>
      <c r="G42" s="41">
        <f>SUM(G34:G41)</f>
        <v>118627.69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183554.49</v>
      </c>
      <c r="D43" s="41">
        <f>D42+D32</f>
        <v>5415.54</v>
      </c>
      <c r="E43" s="41">
        <f>E42+E32</f>
        <v>9644.130000000001</v>
      </c>
      <c r="F43" s="41">
        <f>F42+F32</f>
        <v>0</v>
      </c>
      <c r="G43" s="41">
        <f>G42+G32</f>
        <v>118627.69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1997894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462919.55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902.47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301.91000000000003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53283.199999999997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20115.23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483937.24999999994</v>
      </c>
      <c r="D54" s="130">
        <f>SUM(D49:D53)</f>
        <v>53283.199999999997</v>
      </c>
      <c r="E54" s="130">
        <f>SUM(E49:E53)</f>
        <v>0</v>
      </c>
      <c r="F54" s="130">
        <f>SUM(F49:F53)</f>
        <v>0</v>
      </c>
      <c r="G54" s="130">
        <f>SUM(G49:G53)</f>
        <v>301.91000000000003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2481831.25</v>
      </c>
      <c r="D55" s="22">
        <f>D48+D54</f>
        <v>53283.199999999997</v>
      </c>
      <c r="E55" s="22">
        <f>E48+E54</f>
        <v>0</v>
      </c>
      <c r="F55" s="22">
        <f>F48+F54</f>
        <v>0</v>
      </c>
      <c r="G55" s="22">
        <f>G48+G54</f>
        <v>301.91000000000003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1469891.82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400905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563952.18000000005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2434749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100439.16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110754.46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21500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7800</v>
      </c>
      <c r="D69" s="95">
        <f>SUM('DOE25'!G123:G127)</f>
        <v>1720.63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240493.62</v>
      </c>
      <c r="D70" s="130">
        <f>SUM(D64:D69)</f>
        <v>1720.63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2675242.62</v>
      </c>
      <c r="D73" s="130">
        <f>SUM(D71:D72)+D70+D62</f>
        <v>1720.63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55800.46</v>
      </c>
      <c r="D80" s="95">
        <f>SUM('DOE25'!G145:G153)</f>
        <v>79211.100000000006</v>
      </c>
      <c r="E80" s="95">
        <f>SUM('DOE25'!H145:H153)</f>
        <v>524372.46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893.75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56694.21</v>
      </c>
      <c r="D83" s="131">
        <f>SUM(D77:D82)</f>
        <v>79211.100000000006</v>
      </c>
      <c r="E83" s="131">
        <f>SUM(E77:E82)</f>
        <v>524372.46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40000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40000</v>
      </c>
    </row>
    <row r="96" spans="1:7" ht="12.75" thickTop="1" thickBot="1" x14ac:dyDescent="0.25">
      <c r="A96" s="33" t="s">
        <v>797</v>
      </c>
      <c r="C96" s="86">
        <f>C55+C73+C83+C95</f>
        <v>5213768.08</v>
      </c>
      <c r="D96" s="86">
        <f>D55+D73+D83+D95</f>
        <v>134214.93</v>
      </c>
      <c r="E96" s="86">
        <f>E55+E73+E83+E95</f>
        <v>524372.46</v>
      </c>
      <c r="F96" s="86">
        <f>F55+F73+F83+F95</f>
        <v>0</v>
      </c>
      <c r="G96" s="86">
        <f>G55+G73+G95</f>
        <v>40301.910000000003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2193176.98</v>
      </c>
      <c r="D101" s="24" t="s">
        <v>312</v>
      </c>
      <c r="E101" s="95">
        <f>('DOE25'!L268)+('DOE25'!L287)+('DOE25'!L306)</f>
        <v>8634.4499999999989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732309.35</v>
      </c>
      <c r="D102" s="24" t="s">
        <v>312</v>
      </c>
      <c r="E102" s="95">
        <f>('DOE25'!L269)+('DOE25'!L288)+('DOE25'!L307)</f>
        <v>314930.30000000005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185865.13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103367.85</v>
      </c>
      <c r="D104" s="24" t="s">
        <v>312</v>
      </c>
      <c r="E104" s="95">
        <f>+('DOE25'!L271)+('DOE25'!L290)+('DOE25'!L309)</f>
        <v>9400.73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16377.220000000001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3214719.31</v>
      </c>
      <c r="D107" s="86">
        <f>SUM(D101:D106)</f>
        <v>0</v>
      </c>
      <c r="E107" s="86">
        <f>SUM(E101:E106)</f>
        <v>349342.70000000007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313493.38</v>
      </c>
      <c r="D110" s="24" t="s">
        <v>312</v>
      </c>
      <c r="E110" s="95">
        <f>+('DOE25'!L273)+('DOE25'!L292)+('DOE25'!L311)</f>
        <v>261.5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77363.86</v>
      </c>
      <c r="D111" s="24" t="s">
        <v>312</v>
      </c>
      <c r="E111" s="95">
        <f>+('DOE25'!L274)+('DOE25'!L293)+('DOE25'!L312)</f>
        <v>168618.17000000004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227963.90000000002</v>
      </c>
      <c r="D112" s="24" t="s">
        <v>312</v>
      </c>
      <c r="E112" s="95">
        <f>+('DOE25'!L275)+('DOE25'!L294)+('DOE25'!L313)</f>
        <v>7744.4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259909.55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366538.39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207824.77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121012.58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136207.02000000002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1574106.4300000002</v>
      </c>
      <c r="D120" s="86">
        <f>SUM(D110:D119)</f>
        <v>136207.02000000002</v>
      </c>
      <c r="E120" s="86">
        <f>SUM(E110:E119)</f>
        <v>176624.07000000004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274144.7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119944.68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40301.910000000003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-301.91000000000349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434089.38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5222915.12</v>
      </c>
      <c r="D137" s="86">
        <f>(D107+D120+D136)</f>
        <v>136207.02000000002</v>
      </c>
      <c r="E137" s="86">
        <f>(E107+E120+E136)</f>
        <v>525966.77000000014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2//1993</v>
      </c>
      <c r="C144" s="152" t="str">
        <f>'DOE25'!G481</f>
        <v>7//2002</v>
      </c>
      <c r="D144" s="152" t="str">
        <f>'DOE25'!H481</f>
        <v>9//2008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2//2013</v>
      </c>
      <c r="C145" s="152" t="str">
        <f>'DOE25'!G482</f>
        <v>8//2012</v>
      </c>
      <c r="D145" s="152" t="str">
        <f>'DOE25'!H482</f>
        <v>9//2013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979939.45</v>
      </c>
      <c r="C146" s="137">
        <f>'DOE25'!G483</f>
        <v>1995190</v>
      </c>
      <c r="D146" s="137">
        <f>'DOE25'!H483</f>
        <v>197233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8.5</v>
      </c>
      <c r="C147" s="137">
        <f>'DOE25'!G484</f>
        <v>3.8</v>
      </c>
      <c r="D147" s="137">
        <f>'DOE25'!H484</f>
        <v>3.88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88715.7</v>
      </c>
      <c r="C148" s="137">
        <f>'DOE25'!G485</f>
        <v>905000</v>
      </c>
      <c r="D148" s="137">
        <f>'DOE25'!H485</f>
        <v>197233</v>
      </c>
      <c r="E148" s="137">
        <f>'DOE25'!I485</f>
        <v>0</v>
      </c>
      <c r="F148" s="137">
        <f>'DOE25'!J485</f>
        <v>0</v>
      </c>
      <c r="G148" s="138">
        <f>SUM(B148:F148)</f>
        <v>1190948.7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24698.1</v>
      </c>
      <c r="C150" s="137">
        <f>'DOE25'!G487</f>
        <v>210000</v>
      </c>
      <c r="D150" s="137">
        <f>'DOE25'!H487</f>
        <v>39446.6</v>
      </c>
      <c r="E150" s="137">
        <f>'DOE25'!I487</f>
        <v>0</v>
      </c>
      <c r="F150" s="137">
        <f>'DOE25'!J487</f>
        <v>0</v>
      </c>
      <c r="G150" s="138">
        <f t="shared" si="0"/>
        <v>274144.7</v>
      </c>
    </row>
    <row r="151" spans="1:7" x14ac:dyDescent="0.2">
      <c r="A151" s="22" t="s">
        <v>35</v>
      </c>
      <c r="B151" s="137">
        <f>'DOE25'!F488</f>
        <v>64017.599999999999</v>
      </c>
      <c r="C151" s="137">
        <f>'DOE25'!G488</f>
        <v>695000</v>
      </c>
      <c r="D151" s="137">
        <f>'DOE25'!H488</f>
        <v>157786.4</v>
      </c>
      <c r="E151" s="137">
        <f>'DOE25'!I488</f>
        <v>0</v>
      </c>
      <c r="F151" s="137">
        <f>'DOE25'!J488</f>
        <v>0</v>
      </c>
      <c r="G151" s="138">
        <f t="shared" si="0"/>
        <v>916804</v>
      </c>
    </row>
    <row r="152" spans="1:7" x14ac:dyDescent="0.2">
      <c r="A152" s="22" t="s">
        <v>36</v>
      </c>
      <c r="B152" s="137">
        <f>'DOE25'!F489</f>
        <v>255982.4</v>
      </c>
      <c r="C152" s="137">
        <f>'DOE25'!G489</f>
        <v>42700</v>
      </c>
      <c r="D152" s="137">
        <f>'DOE25'!H489</f>
        <v>15293.94</v>
      </c>
      <c r="E152" s="137">
        <f>'DOE25'!I489</f>
        <v>0</v>
      </c>
      <c r="F152" s="137">
        <f>'DOE25'!J489</f>
        <v>0</v>
      </c>
      <c r="G152" s="138">
        <f t="shared" si="0"/>
        <v>313976.34000000003</v>
      </c>
    </row>
    <row r="153" spans="1:7" x14ac:dyDescent="0.2">
      <c r="A153" s="22" t="s">
        <v>37</v>
      </c>
      <c r="B153" s="137">
        <f>'DOE25'!F490</f>
        <v>320000</v>
      </c>
      <c r="C153" s="137">
        <f>'DOE25'!G490</f>
        <v>737700</v>
      </c>
      <c r="D153" s="137">
        <f>'DOE25'!H490</f>
        <v>173080.34</v>
      </c>
      <c r="E153" s="137">
        <f>'DOE25'!I490</f>
        <v>0</v>
      </c>
      <c r="F153" s="137">
        <f>'DOE25'!J490</f>
        <v>0</v>
      </c>
      <c r="G153" s="138">
        <f t="shared" si="0"/>
        <v>1230780.3400000001</v>
      </c>
    </row>
    <row r="154" spans="1:7" x14ac:dyDescent="0.2">
      <c r="A154" s="22" t="s">
        <v>38</v>
      </c>
      <c r="B154" s="137">
        <f>'DOE25'!F491</f>
        <v>23819.4</v>
      </c>
      <c r="C154" s="137">
        <f>'DOE25'!G491</f>
        <v>220000</v>
      </c>
      <c r="D154" s="137">
        <f>'DOE25'!H491</f>
        <v>39446.6</v>
      </c>
      <c r="E154" s="137">
        <f>'DOE25'!I491</f>
        <v>0</v>
      </c>
      <c r="F154" s="137">
        <f>'DOE25'!J491</f>
        <v>0</v>
      </c>
      <c r="G154" s="138">
        <f t="shared" si="0"/>
        <v>283266</v>
      </c>
    </row>
    <row r="155" spans="1:7" x14ac:dyDescent="0.2">
      <c r="A155" s="22" t="s">
        <v>39</v>
      </c>
      <c r="B155" s="137">
        <f>'DOE25'!F492</f>
        <v>86180.6</v>
      </c>
      <c r="C155" s="137">
        <f>'DOE25'!G492</f>
        <v>23400</v>
      </c>
      <c r="D155" s="137">
        <f>'DOE25'!H492</f>
        <v>6114.22</v>
      </c>
      <c r="E155" s="137">
        <f>'DOE25'!I492</f>
        <v>0</v>
      </c>
      <c r="F155" s="137">
        <f>'DOE25'!J492</f>
        <v>0</v>
      </c>
      <c r="G155" s="138">
        <f t="shared" si="0"/>
        <v>115694.82</v>
      </c>
    </row>
    <row r="156" spans="1:7" x14ac:dyDescent="0.2">
      <c r="A156" s="22" t="s">
        <v>269</v>
      </c>
      <c r="B156" s="137">
        <f>'DOE25'!F493</f>
        <v>110000</v>
      </c>
      <c r="C156" s="137">
        <f>'DOE25'!G493</f>
        <v>243400</v>
      </c>
      <c r="D156" s="137">
        <f>'DOE25'!H493</f>
        <v>45560.82</v>
      </c>
      <c r="E156" s="137">
        <f>'DOE25'!I493</f>
        <v>0</v>
      </c>
      <c r="F156" s="137">
        <f>'DOE25'!J493</f>
        <v>0</v>
      </c>
      <c r="G156" s="138">
        <f t="shared" si="0"/>
        <v>398960.82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9566-3A6E-4FD5-95C2-775DA581CC2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LISBON REGIONAL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14155</v>
      </c>
    </row>
    <row r="5" spans="1:4" x14ac:dyDescent="0.2">
      <c r="B5" t="s">
        <v>735</v>
      </c>
      <c r="C5" s="179">
        <f>IF('DOE25'!G655+'DOE25'!G660=0,0,ROUND('DOE25'!G662,0))</f>
        <v>10941</v>
      </c>
    </row>
    <row r="6" spans="1:4" x14ac:dyDescent="0.2">
      <c r="B6" t="s">
        <v>62</v>
      </c>
      <c r="C6" s="179">
        <f>IF('DOE25'!H655+'DOE25'!H660=0,0,ROUND('DOE25'!H662,0))</f>
        <v>12996</v>
      </c>
    </row>
    <row r="7" spans="1:4" x14ac:dyDescent="0.2">
      <c r="B7" t="s">
        <v>736</v>
      </c>
      <c r="C7" s="179">
        <f>IF('DOE25'!I655+'DOE25'!I660=0,0,ROUND('DOE25'!I662,0))</f>
        <v>12876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2201811</v>
      </c>
      <c r="D10" s="182">
        <f>ROUND((C10/$C$28)*100,1)</f>
        <v>39.9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1047240</v>
      </c>
      <c r="D11" s="182">
        <f>ROUND((C11/$C$28)*100,1)</f>
        <v>19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185865</v>
      </c>
      <c r="D12" s="182">
        <f>ROUND((C12/$C$28)*100,1)</f>
        <v>3.4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112769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313755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245982</v>
      </c>
      <c r="D16" s="182">
        <f t="shared" si="0"/>
        <v>4.5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356721</v>
      </c>
      <c r="D17" s="182">
        <f t="shared" si="0"/>
        <v>6.5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259910</v>
      </c>
      <c r="D18" s="182">
        <f t="shared" si="0"/>
        <v>4.7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366538</v>
      </c>
      <c r="D20" s="182">
        <f t="shared" si="0"/>
        <v>6.6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207825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16377</v>
      </c>
      <c r="D24" s="182">
        <f t="shared" si="0"/>
        <v>0.3</v>
      </c>
    </row>
    <row r="25" spans="1:4" x14ac:dyDescent="0.2">
      <c r="A25">
        <v>5120</v>
      </c>
      <c r="B25" t="s">
        <v>751</v>
      </c>
      <c r="C25" s="179">
        <f>ROUND('DOE25'!L253+'DOE25'!L334,0)</f>
        <v>119945</v>
      </c>
      <c r="D25" s="182">
        <f t="shared" si="0"/>
        <v>2.2000000000000002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82923.8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5517661.7999999998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5517661.7999999998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274145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1997894</v>
      </c>
      <c r="D35" s="182">
        <f t="shared" ref="D35:D40" si="1">ROUND((C35/$C$41)*100,1)</f>
        <v>34.299999999999997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484239.16000000015</v>
      </c>
      <c r="D36" s="182">
        <f t="shared" si="1"/>
        <v>8.3000000000000007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1870797</v>
      </c>
      <c r="D37" s="182">
        <f t="shared" si="1"/>
        <v>32.1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806166</v>
      </c>
      <c r="D38" s="182">
        <f t="shared" si="1"/>
        <v>13.9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660278</v>
      </c>
      <c r="D39" s="182">
        <f t="shared" si="1"/>
        <v>11.3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5819374.1600000001</v>
      </c>
      <c r="D41" s="184">
        <f>SUM(D35:D40)</f>
        <v>99.899999999999991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3D6A-651B-48D3-A8FA-741BB230107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LISBON REGIONAL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2010-09-13T17:15:58Z</cp:lastPrinted>
  <dcterms:created xsi:type="dcterms:W3CDTF">1997-12-04T19:04:30Z</dcterms:created>
  <dcterms:modified xsi:type="dcterms:W3CDTF">2025-01-02T14:51:17Z</dcterms:modified>
</cp:coreProperties>
</file>