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C2636EC-873B-4AE2-9738-33CBA7C98A79}" xr6:coauthVersionLast="47" xr6:coauthVersionMax="47" xr10:uidLastSave="{00000000-0000-0000-0000-000000000000}"/>
  <workbookProtection workbookPassword="B70A" lockStructure="1"/>
  <bookViews>
    <workbookView xWindow="3975" yWindow="3975" windowWidth="21600" windowHeight="11505" tabRatio="855" xr2:uid="{CBA3098B-EBE4-4F02-AE8C-26A540B11C8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C17" i="10" s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L237" i="1"/>
  <c r="F5" i="13"/>
  <c r="G5" i="13"/>
  <c r="L189" i="1"/>
  <c r="L190" i="1"/>
  <c r="L191" i="1"/>
  <c r="L192" i="1"/>
  <c r="L207" i="1"/>
  <c r="L208" i="1"/>
  <c r="L209" i="1"/>
  <c r="C12" i="10" s="1"/>
  <c r="L210" i="1"/>
  <c r="C13" i="10" s="1"/>
  <c r="L225" i="1"/>
  <c r="L226" i="1"/>
  <c r="L227" i="1"/>
  <c r="L228" i="1"/>
  <c r="F6" i="13"/>
  <c r="G6" i="13"/>
  <c r="L194" i="1"/>
  <c r="D6" i="13" s="1"/>
  <c r="L212" i="1"/>
  <c r="L230" i="1"/>
  <c r="F7" i="13"/>
  <c r="G7" i="13"/>
  <c r="G33" i="13" s="1"/>
  <c r="L195" i="1"/>
  <c r="L213" i="1"/>
  <c r="L231" i="1"/>
  <c r="D7" i="13" s="1"/>
  <c r="C7" i="13" s="1"/>
  <c r="F12" i="13"/>
  <c r="G12" i="13"/>
  <c r="L197" i="1"/>
  <c r="L215" i="1"/>
  <c r="C18" i="10" s="1"/>
  <c r="L233" i="1"/>
  <c r="F14" i="13"/>
  <c r="G14" i="13"/>
  <c r="L199" i="1"/>
  <c r="L217" i="1"/>
  <c r="D14" i="13" s="1"/>
  <c r="C14" i="13" s="1"/>
  <c r="L235" i="1"/>
  <c r="F15" i="13"/>
  <c r="G15" i="13"/>
  <c r="D15" i="13" s="1"/>
  <c r="C15" i="13" s="1"/>
  <c r="L200" i="1"/>
  <c r="L218" i="1"/>
  <c r="L236" i="1"/>
  <c r="F17" i="13"/>
  <c r="G17" i="13"/>
  <c r="L243" i="1"/>
  <c r="F18" i="13"/>
  <c r="G18" i="13"/>
  <c r="D18" i="13" s="1"/>
  <c r="C18" i="13" s="1"/>
  <c r="L244" i="1"/>
  <c r="F19" i="13"/>
  <c r="G19" i="13"/>
  <c r="L245" i="1"/>
  <c r="F29" i="13"/>
  <c r="G29" i="13"/>
  <c r="L350" i="1"/>
  <c r="L351" i="1"/>
  <c r="G651" i="1" s="1"/>
  <c r="I651" i="1" s="1"/>
  <c r="L352" i="1"/>
  <c r="I359" i="1"/>
  <c r="I361" i="1" s="1"/>
  <c r="H624" i="1" s="1"/>
  <c r="J282" i="1"/>
  <c r="J301" i="1"/>
  <c r="J320" i="1"/>
  <c r="K282" i="1"/>
  <c r="K301" i="1"/>
  <c r="K320" i="1"/>
  <c r="L268" i="1"/>
  <c r="E101" i="2" s="1"/>
  <c r="L269" i="1"/>
  <c r="L270" i="1"/>
  <c r="L271" i="1"/>
  <c r="L273" i="1"/>
  <c r="L282" i="1" s="1"/>
  <c r="L274" i="1"/>
  <c r="E111" i="2" s="1"/>
  <c r="L275" i="1"/>
  <c r="E112" i="2" s="1"/>
  <c r="L276" i="1"/>
  <c r="L277" i="1"/>
  <c r="L278" i="1"/>
  <c r="E115" i="2" s="1"/>
  <c r="L279" i="1"/>
  <c r="F652" i="1" s="1"/>
  <c r="I652" i="1" s="1"/>
  <c r="L280" i="1"/>
  <c r="L287" i="1"/>
  <c r="L288" i="1"/>
  <c r="E102" i="2" s="1"/>
  <c r="L289" i="1"/>
  <c r="L290" i="1"/>
  <c r="E104" i="2" s="1"/>
  <c r="L292" i="1"/>
  <c r="L293" i="1"/>
  <c r="L294" i="1"/>
  <c r="L295" i="1"/>
  <c r="L296" i="1"/>
  <c r="E114" i="2" s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E106" i="2" s="1"/>
  <c r="L327" i="1"/>
  <c r="L252" i="1"/>
  <c r="C32" i="10" s="1"/>
  <c r="L253" i="1"/>
  <c r="C25" i="10" s="1"/>
  <c r="L333" i="1"/>
  <c r="L334" i="1"/>
  <c r="L343" i="1" s="1"/>
  <c r="L247" i="1"/>
  <c r="F22" i="13" s="1"/>
  <c r="L328" i="1"/>
  <c r="C11" i="13"/>
  <c r="C10" i="13"/>
  <c r="C9" i="13"/>
  <c r="L353" i="1"/>
  <c r="B4" i="12"/>
  <c r="B36" i="12"/>
  <c r="C36" i="12"/>
  <c r="B40" i="12"/>
  <c r="C40" i="12"/>
  <c r="B27" i="12"/>
  <c r="C27" i="12"/>
  <c r="B31" i="12"/>
  <c r="A31" i="12"/>
  <c r="C31" i="12"/>
  <c r="B9" i="12"/>
  <c r="B13" i="12"/>
  <c r="C9" i="12"/>
  <c r="C13" i="12"/>
  <c r="B18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 s="1"/>
  <c r="C131" i="2" s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 s="1"/>
  <c r="L601" i="1"/>
  <c r="L604" i="1" s="1"/>
  <c r="F653" i="1"/>
  <c r="C40" i="10"/>
  <c r="F52" i="1"/>
  <c r="C48" i="2" s="1"/>
  <c r="G52" i="1"/>
  <c r="G104" i="1" s="1"/>
  <c r="G185" i="1" s="1"/>
  <c r="G618" i="1" s="1"/>
  <c r="J618" i="1" s="1"/>
  <c r="H52" i="1"/>
  <c r="E48" i="2"/>
  <c r="I52" i="1"/>
  <c r="F48" i="2" s="1"/>
  <c r="F55" i="2" s="1"/>
  <c r="F96" i="2" s="1"/>
  <c r="F71" i="1"/>
  <c r="F86" i="1"/>
  <c r="C50" i="2"/>
  <c r="F103" i="1"/>
  <c r="G103" i="1"/>
  <c r="H71" i="1"/>
  <c r="H86" i="1"/>
  <c r="H104" i="1" s="1"/>
  <c r="H185" i="1" s="1"/>
  <c r="G619" i="1" s="1"/>
  <c r="J619" i="1" s="1"/>
  <c r="H103" i="1"/>
  <c r="I103" i="1"/>
  <c r="J103" i="1"/>
  <c r="C37" i="10"/>
  <c r="F113" i="1"/>
  <c r="F132" i="1" s="1"/>
  <c r="C38" i="10" s="1"/>
  <c r="F128" i="1"/>
  <c r="G113" i="1"/>
  <c r="G128" i="1"/>
  <c r="G132" i="1" s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 s="1"/>
  <c r="C39" i="10" s="1"/>
  <c r="G139" i="1"/>
  <c r="G161" i="1" s="1"/>
  <c r="G154" i="1"/>
  <c r="H139" i="1"/>
  <c r="H154" i="1"/>
  <c r="H161" i="1"/>
  <c r="I139" i="1"/>
  <c r="I161" i="1" s="1"/>
  <c r="I154" i="1"/>
  <c r="C10" i="10"/>
  <c r="C21" i="10"/>
  <c r="L242" i="1"/>
  <c r="L324" i="1"/>
  <c r="C23" i="10" s="1"/>
  <c r="L246" i="1"/>
  <c r="C24" i="10" s="1"/>
  <c r="L260" i="1"/>
  <c r="L261" i="1"/>
  <c r="C26" i="10"/>
  <c r="L341" i="1"/>
  <c r="L342" i="1"/>
  <c r="E135" i="2" s="1"/>
  <c r="I655" i="1"/>
  <c r="I660" i="1"/>
  <c r="G652" i="1"/>
  <c r="I659" i="1"/>
  <c r="C4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 s="1"/>
  <c r="L512" i="1"/>
  <c r="F540" i="1" s="1"/>
  <c r="L513" i="1"/>
  <c r="F541" i="1"/>
  <c r="L516" i="1"/>
  <c r="G539" i="1"/>
  <c r="G542" i="1" s="1"/>
  <c r="L517" i="1"/>
  <c r="G540" i="1" s="1"/>
  <c r="L518" i="1"/>
  <c r="G541" i="1" s="1"/>
  <c r="K541" i="1" s="1"/>
  <c r="L521" i="1"/>
  <c r="H539" i="1" s="1"/>
  <c r="L522" i="1"/>
  <c r="H540" i="1" s="1"/>
  <c r="L523" i="1"/>
  <c r="H541" i="1"/>
  <c r="L526" i="1"/>
  <c r="I539" i="1"/>
  <c r="L527" i="1"/>
  <c r="I540" i="1" s="1"/>
  <c r="L528" i="1"/>
  <c r="I541" i="1" s="1"/>
  <c r="L531" i="1"/>
  <c r="J539" i="1" s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D19" i="2" s="1"/>
  <c r="E9" i="2"/>
  <c r="E19" i="2" s="1"/>
  <c r="F9" i="2"/>
  <c r="F19" i="2" s="1"/>
  <c r="I431" i="1"/>
  <c r="J9" i="1" s="1"/>
  <c r="C10" i="2"/>
  <c r="C19" i="2" s="1"/>
  <c r="D10" i="2"/>
  <c r="E10" i="2"/>
  <c r="F10" i="2"/>
  <c r="F12" i="2"/>
  <c r="F13" i="2"/>
  <c r="F14" i="2"/>
  <c r="F15" i="2"/>
  <c r="F16" i="2"/>
  <c r="F17" i="2"/>
  <c r="F18" i="2"/>
  <c r="I432" i="1"/>
  <c r="J10" i="1" s="1"/>
  <c r="G10" i="2" s="1"/>
  <c r="C11" i="2"/>
  <c r="C12" i="2"/>
  <c r="D12" i="2"/>
  <c r="E12" i="2"/>
  <c r="I433" i="1"/>
  <c r="J12" i="1" s="1"/>
  <c r="G12" i="2" s="1"/>
  <c r="C13" i="2"/>
  <c r="D13" i="2"/>
  <c r="E13" i="2"/>
  <c r="I434" i="1"/>
  <c r="J13" i="1"/>
  <c r="G13" i="2" s="1"/>
  <c r="C14" i="2"/>
  <c r="D14" i="2"/>
  <c r="D16" i="2"/>
  <c r="D17" i="2"/>
  <c r="D18" i="2"/>
  <c r="E14" i="2"/>
  <c r="I435" i="1"/>
  <c r="J14" i="1"/>
  <c r="G14" i="2" s="1"/>
  <c r="C16" i="2"/>
  <c r="E16" i="2"/>
  <c r="C17" i="2"/>
  <c r="E17" i="2"/>
  <c r="I436" i="1"/>
  <c r="J17" i="1"/>
  <c r="G17" i="2" s="1"/>
  <c r="C18" i="2"/>
  <c r="E18" i="2"/>
  <c r="I437" i="1"/>
  <c r="J18" i="1"/>
  <c r="G18" i="2" s="1"/>
  <c r="C22" i="2"/>
  <c r="D22" i="2"/>
  <c r="D32" i="2" s="1"/>
  <c r="E22" i="2"/>
  <c r="F22" i="2"/>
  <c r="I440" i="1"/>
  <c r="J23" i="1"/>
  <c r="G22" i="2" s="1"/>
  <c r="C23" i="2"/>
  <c r="D23" i="2"/>
  <c r="E23" i="2"/>
  <c r="E32" i="2" s="1"/>
  <c r="F23" i="2"/>
  <c r="I441" i="1"/>
  <c r="J24" i="1" s="1"/>
  <c r="C24" i="2"/>
  <c r="D24" i="2"/>
  <c r="E24" i="2"/>
  <c r="F24" i="2"/>
  <c r="I442" i="1"/>
  <c r="J25" i="1" s="1"/>
  <c r="G24" i="2" s="1"/>
  <c r="C25" i="2"/>
  <c r="D25" i="2"/>
  <c r="E25" i="2"/>
  <c r="F25" i="2"/>
  <c r="F32" i="2" s="1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E31" i="2"/>
  <c r="E34" i="2"/>
  <c r="E35" i="2"/>
  <c r="E36" i="2"/>
  <c r="E37" i="2"/>
  <c r="E38" i="2"/>
  <c r="E40" i="2"/>
  <c r="E42" i="2" s="1"/>
  <c r="E41" i="2"/>
  <c r="F30" i="2"/>
  <c r="C31" i="2"/>
  <c r="D31" i="2"/>
  <c r="F31" i="2"/>
  <c r="I443" i="1"/>
  <c r="J32" i="1" s="1"/>
  <c r="G31" i="2" s="1"/>
  <c r="C34" i="2"/>
  <c r="D34" i="2"/>
  <c r="D42" i="2" s="1"/>
  <c r="D43" i="2" s="1"/>
  <c r="F34" i="2"/>
  <c r="F42" i="2" s="1"/>
  <c r="C35" i="2"/>
  <c r="D35" i="2"/>
  <c r="F35" i="2"/>
  <c r="C36" i="2"/>
  <c r="D36" i="2"/>
  <c r="F36" i="2"/>
  <c r="I446" i="1"/>
  <c r="J37" i="1" s="1"/>
  <c r="C37" i="2"/>
  <c r="D37" i="2"/>
  <c r="F37" i="2"/>
  <c r="I447" i="1"/>
  <c r="J38" i="1" s="1"/>
  <c r="G37" i="2" s="1"/>
  <c r="C38" i="2"/>
  <c r="D38" i="2"/>
  <c r="F38" i="2"/>
  <c r="F40" i="2"/>
  <c r="F41" i="2"/>
  <c r="I448" i="1"/>
  <c r="J40" i="1" s="1"/>
  <c r="G39" i="2" s="1"/>
  <c r="C40" i="2"/>
  <c r="D40" i="2"/>
  <c r="I449" i="1"/>
  <c r="J41" i="1"/>
  <c r="C41" i="2"/>
  <c r="D41" i="2"/>
  <c r="C49" i="2"/>
  <c r="C54" i="2" s="1"/>
  <c r="E49" i="2"/>
  <c r="C51" i="2"/>
  <c r="D51" i="2"/>
  <c r="E51" i="2"/>
  <c r="F51" i="2"/>
  <c r="D52" i="2"/>
  <c r="C53" i="2"/>
  <c r="D53" i="2"/>
  <c r="E53" i="2"/>
  <c r="F53" i="2"/>
  <c r="F54" i="2"/>
  <c r="F64" i="2"/>
  <c r="F70" i="2" s="1"/>
  <c r="F73" i="2" s="1"/>
  <c r="F65" i="2"/>
  <c r="F68" i="2"/>
  <c r="F69" i="2"/>
  <c r="F61" i="2"/>
  <c r="F62" i="2"/>
  <c r="F77" i="2"/>
  <c r="F79" i="2"/>
  <c r="F80" i="2"/>
  <c r="F83" i="2" s="1"/>
  <c r="F81" i="2"/>
  <c r="F85" i="2"/>
  <c r="F95" i="2" s="1"/>
  <c r="F86" i="2"/>
  <c r="F88" i="2"/>
  <c r="F89" i="2"/>
  <c r="F91" i="2"/>
  <c r="F92" i="2"/>
  <c r="F93" i="2"/>
  <c r="F94" i="2"/>
  <c r="C58" i="2"/>
  <c r="C62" i="2" s="1"/>
  <c r="C59" i="2"/>
  <c r="C61" i="2"/>
  <c r="D61" i="2"/>
  <c r="E61" i="2"/>
  <c r="E62" i="2"/>
  <c r="G61" i="2"/>
  <c r="G62" i="2" s="1"/>
  <c r="G73" i="2" s="1"/>
  <c r="D62" i="2"/>
  <c r="C64" i="2"/>
  <c r="C65" i="2"/>
  <c r="C66" i="2"/>
  <c r="C67" i="2"/>
  <c r="C68" i="2"/>
  <c r="E68" i="2"/>
  <c r="C69" i="2"/>
  <c r="D69" i="2"/>
  <c r="D70" i="2"/>
  <c r="D73" i="2" s="1"/>
  <c r="D71" i="2"/>
  <c r="E69" i="2"/>
  <c r="G69" i="2"/>
  <c r="E70" i="2"/>
  <c r="E73" i="2" s="1"/>
  <c r="G70" i="2"/>
  <c r="C71" i="2"/>
  <c r="E71" i="2"/>
  <c r="C72" i="2"/>
  <c r="E72" i="2"/>
  <c r="C77" i="2"/>
  <c r="D77" i="2"/>
  <c r="D83" i="2" s="1"/>
  <c r="E77" i="2"/>
  <c r="E83" i="2" s="1"/>
  <c r="C79" i="2"/>
  <c r="E79" i="2"/>
  <c r="C80" i="2"/>
  <c r="D80" i="2"/>
  <c r="E80" i="2"/>
  <c r="C81" i="2"/>
  <c r="C83" i="2" s="1"/>
  <c r="D81" i="2"/>
  <c r="E81" i="2"/>
  <c r="C82" i="2"/>
  <c r="C85" i="2"/>
  <c r="C86" i="2"/>
  <c r="C89" i="2"/>
  <c r="C90" i="2"/>
  <c r="C91" i="2"/>
  <c r="C92" i="2"/>
  <c r="C95" i="2" s="1"/>
  <c r="C93" i="2"/>
  <c r="C94" i="2"/>
  <c r="D88" i="2"/>
  <c r="E88" i="2"/>
  <c r="G88" i="2"/>
  <c r="D89" i="2"/>
  <c r="E89" i="2"/>
  <c r="E95" i="2" s="1"/>
  <c r="G89" i="2"/>
  <c r="G95" i="2" s="1"/>
  <c r="G90" i="2"/>
  <c r="D90" i="2"/>
  <c r="D95" i="2" s="1"/>
  <c r="E90" i="2"/>
  <c r="D91" i="2"/>
  <c r="E91" i="2"/>
  <c r="D92" i="2"/>
  <c r="E92" i="2"/>
  <c r="D93" i="2"/>
  <c r="E93" i="2"/>
  <c r="D94" i="2"/>
  <c r="E94" i="2"/>
  <c r="C102" i="2"/>
  <c r="C103" i="2"/>
  <c r="E103" i="2"/>
  <c r="C105" i="2"/>
  <c r="E105" i="2"/>
  <c r="C106" i="2"/>
  <c r="D107" i="2"/>
  <c r="F107" i="2"/>
  <c r="G107" i="2"/>
  <c r="C110" i="2"/>
  <c r="C113" i="2"/>
  <c r="E113" i="2"/>
  <c r="C116" i="2"/>
  <c r="E116" i="2"/>
  <c r="E117" i="2"/>
  <c r="D119" i="2"/>
  <c r="D120" i="2" s="1"/>
  <c r="D137" i="2" s="1"/>
  <c r="F120" i="2"/>
  <c r="G120" i="2"/>
  <c r="C122" i="2"/>
  <c r="E122" i="2"/>
  <c r="F126" i="2"/>
  <c r="D126" i="2"/>
  <c r="D136" i="2" s="1"/>
  <c r="E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/>
  <c r="L257" i="1"/>
  <c r="C129" i="2" s="1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153" i="2" s="1"/>
  <c r="G490" i="1"/>
  <c r="C153" i="2" s="1"/>
  <c r="H490" i="1"/>
  <c r="D153" i="2"/>
  <c r="I490" i="1"/>
  <c r="E153" i="2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G155" i="2" s="1"/>
  <c r="F155" i="2"/>
  <c r="F493" i="1"/>
  <c r="B156" i="2" s="1"/>
  <c r="G493" i="1"/>
  <c r="C156" i="2"/>
  <c r="H493" i="1"/>
  <c r="D156" i="2"/>
  <c r="I493" i="1"/>
  <c r="E156" i="2" s="1"/>
  <c r="J493" i="1"/>
  <c r="F156" i="2"/>
  <c r="F19" i="1"/>
  <c r="G607" i="1"/>
  <c r="J607" i="1" s="1"/>
  <c r="G19" i="1"/>
  <c r="G608" i="1" s="1"/>
  <c r="H19" i="1"/>
  <c r="G609" i="1" s="1"/>
  <c r="I19" i="1"/>
  <c r="G610" i="1" s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F169" i="1"/>
  <c r="F184" i="1" s="1"/>
  <c r="I169" i="1"/>
  <c r="F175" i="1"/>
  <c r="G175" i="1"/>
  <c r="G184" i="1" s="1"/>
  <c r="H175" i="1"/>
  <c r="I175" i="1"/>
  <c r="I184" i="1" s="1"/>
  <c r="J175" i="1"/>
  <c r="J184" i="1" s="1"/>
  <c r="F180" i="1"/>
  <c r="G180" i="1"/>
  <c r="H180" i="1"/>
  <c r="H184" i="1" s="1"/>
  <c r="I180" i="1"/>
  <c r="F203" i="1"/>
  <c r="G203" i="1"/>
  <c r="H203" i="1"/>
  <c r="I203" i="1"/>
  <c r="I249" i="1" s="1"/>
  <c r="I263" i="1" s="1"/>
  <c r="J203" i="1"/>
  <c r="J249" i="1" s="1"/>
  <c r="K203" i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F282" i="1"/>
  <c r="G282" i="1"/>
  <c r="H282" i="1"/>
  <c r="H330" i="1" s="1"/>
  <c r="H344" i="1" s="1"/>
  <c r="I282" i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L329" i="1" s="1"/>
  <c r="I329" i="1"/>
  <c r="J329" i="1"/>
  <c r="J330" i="1" s="1"/>
  <c r="J344" i="1" s="1"/>
  <c r="K329" i="1"/>
  <c r="K330" i="1"/>
  <c r="K344" i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H400" i="1" s="1"/>
  <c r="H634" i="1" s="1"/>
  <c r="J634" i="1" s="1"/>
  <c r="I393" i="1"/>
  <c r="I400" i="1" s="1"/>
  <c r="F399" i="1"/>
  <c r="G399" i="1"/>
  <c r="G400" i="1" s="1"/>
  <c r="H635" i="1" s="1"/>
  <c r="J635" i="1" s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J426" i="1"/>
  <c r="F438" i="1"/>
  <c r="G629" i="1"/>
  <c r="J629" i="1" s="1"/>
  <c r="G438" i="1"/>
  <c r="H438" i="1"/>
  <c r="G631" i="1"/>
  <c r="F444" i="1"/>
  <c r="F451" i="1" s="1"/>
  <c r="H629" i="1" s="1"/>
  <c r="G444" i="1"/>
  <c r="G451" i="1" s="1"/>
  <c r="H630" i="1" s="1"/>
  <c r="H444" i="1"/>
  <c r="I444" i="1"/>
  <c r="F450" i="1"/>
  <c r="G450" i="1"/>
  <c r="H450" i="1"/>
  <c r="H451" i="1" s="1"/>
  <c r="H631" i="1" s="1"/>
  <c r="J631" i="1" s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J460" i="1"/>
  <c r="F464" i="1"/>
  <c r="G464" i="1"/>
  <c r="H464" i="1"/>
  <c r="I464" i="1"/>
  <c r="I466" i="1" s="1"/>
  <c r="H615" i="1" s="1"/>
  <c r="J615" i="1" s="1"/>
  <c r="J464" i="1"/>
  <c r="J466" i="1"/>
  <c r="H616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H514" i="1"/>
  <c r="H535" i="1" s="1"/>
  <c r="I514" i="1"/>
  <c r="J514" i="1"/>
  <c r="K514" i="1"/>
  <c r="K535" i="1" s="1"/>
  <c r="F519" i="1"/>
  <c r="G519" i="1"/>
  <c r="H519" i="1"/>
  <c r="I519" i="1"/>
  <c r="J519" i="1"/>
  <c r="K519" i="1"/>
  <c r="F524" i="1"/>
  <c r="G524" i="1"/>
  <c r="G535" i="1" s="1"/>
  <c r="H524" i="1"/>
  <c r="I524" i="1"/>
  <c r="I53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G561" i="1" s="1"/>
  <c r="H550" i="1"/>
  <c r="I550" i="1"/>
  <c r="I561" i="1" s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2" i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30" i="1"/>
  <c r="J630" i="1" s="1"/>
  <c r="G633" i="1"/>
  <c r="G634" i="1"/>
  <c r="H637" i="1"/>
  <c r="G639" i="1"/>
  <c r="G640" i="1"/>
  <c r="G641" i="1"/>
  <c r="J641" i="1" s="1"/>
  <c r="G642" i="1"/>
  <c r="H642" i="1"/>
  <c r="J642" i="1"/>
  <c r="G643" i="1"/>
  <c r="J643" i="1" s="1"/>
  <c r="H643" i="1"/>
  <c r="G644" i="1"/>
  <c r="H644" i="1"/>
  <c r="J644" i="1" s="1"/>
  <c r="G645" i="1"/>
  <c r="J645" i="1" s="1"/>
  <c r="H645" i="1"/>
  <c r="C42" i="2"/>
  <c r="C43" i="2" s="1"/>
  <c r="G151" i="2"/>
  <c r="G149" i="2"/>
  <c r="A13" i="12"/>
  <c r="D19" i="13"/>
  <c r="C19" i="13"/>
  <c r="D17" i="13"/>
  <c r="C17" i="13" s="1"/>
  <c r="G635" i="1"/>
  <c r="C11" i="10"/>
  <c r="L248" i="1"/>
  <c r="L239" i="1"/>
  <c r="H650" i="1" s="1"/>
  <c r="H654" i="1" s="1"/>
  <c r="C115" i="2"/>
  <c r="D12" i="13"/>
  <c r="C12" i="13" s="1"/>
  <c r="K249" i="1"/>
  <c r="K263" i="1"/>
  <c r="H249" i="1"/>
  <c r="H263" i="1"/>
  <c r="G249" i="1"/>
  <c r="G263" i="1" s="1"/>
  <c r="C101" i="2"/>
  <c r="C117" i="2"/>
  <c r="E13" i="13"/>
  <c r="C13" i="13"/>
  <c r="L203" i="1"/>
  <c r="C111" i="2"/>
  <c r="D5" i="13"/>
  <c r="C5" i="13" s="1"/>
  <c r="J535" i="1"/>
  <c r="F535" i="1"/>
  <c r="L514" i="1"/>
  <c r="K493" i="1"/>
  <c r="F651" i="1"/>
  <c r="H651" i="1"/>
  <c r="L354" i="1"/>
  <c r="G625" i="1" s="1"/>
  <c r="J625" i="1" s="1"/>
  <c r="C27" i="10"/>
  <c r="D29" i="13"/>
  <c r="C29" i="13"/>
  <c r="L320" i="1"/>
  <c r="L301" i="1"/>
  <c r="G31" i="13"/>
  <c r="F31" i="13"/>
  <c r="I330" i="1"/>
  <c r="I344" i="1" s="1"/>
  <c r="F330" i="1"/>
  <c r="F344" i="1" s="1"/>
  <c r="C70" i="2"/>
  <c r="C73" i="2" s="1"/>
  <c r="F104" i="1"/>
  <c r="C32" i="2"/>
  <c r="D54" i="2"/>
  <c r="G44" i="1"/>
  <c r="H608" i="1" s="1"/>
  <c r="A22" i="12"/>
  <c r="A40" i="12"/>
  <c r="H652" i="1"/>
  <c r="G40" i="2"/>
  <c r="G36" i="2" l="1"/>
  <c r="G42" i="2" s="1"/>
  <c r="J43" i="1"/>
  <c r="I542" i="1"/>
  <c r="K540" i="1"/>
  <c r="F650" i="1"/>
  <c r="D31" i="13"/>
  <c r="C31" i="13" s="1"/>
  <c r="L330" i="1"/>
  <c r="L344" i="1" s="1"/>
  <c r="G623" i="1" s="1"/>
  <c r="J623" i="1" s="1"/>
  <c r="D33" i="13"/>
  <c r="D36" i="13" s="1"/>
  <c r="C6" i="13"/>
  <c r="J640" i="1"/>
  <c r="L561" i="1"/>
  <c r="H638" i="1"/>
  <c r="J638" i="1" s="1"/>
  <c r="J263" i="1"/>
  <c r="J610" i="1"/>
  <c r="G156" i="2"/>
  <c r="E43" i="2"/>
  <c r="G32" i="2"/>
  <c r="G96" i="2"/>
  <c r="J609" i="1"/>
  <c r="E107" i="2"/>
  <c r="H662" i="1"/>
  <c r="C6" i="10" s="1"/>
  <c r="H657" i="1"/>
  <c r="J608" i="1"/>
  <c r="H542" i="1"/>
  <c r="C55" i="2"/>
  <c r="C96" i="2" s="1"/>
  <c r="L426" i="1"/>
  <c r="G628" i="1" s="1"/>
  <c r="J628" i="1" s="1"/>
  <c r="E136" i="2"/>
  <c r="F43" i="2"/>
  <c r="C8" i="13"/>
  <c r="E33" i="13"/>
  <c r="D35" i="13" s="1"/>
  <c r="I653" i="1"/>
  <c r="J624" i="1"/>
  <c r="L400" i="1"/>
  <c r="C130" i="2"/>
  <c r="C133" i="2" s="1"/>
  <c r="F185" i="1"/>
  <c r="G617" i="1" s="1"/>
  <c r="J617" i="1" s="1"/>
  <c r="J613" i="1"/>
  <c r="J542" i="1"/>
  <c r="F33" i="13"/>
  <c r="C22" i="13"/>
  <c r="G9" i="2"/>
  <c r="G19" i="2" s="1"/>
  <c r="J19" i="1"/>
  <c r="G611" i="1" s="1"/>
  <c r="K539" i="1"/>
  <c r="F542" i="1"/>
  <c r="J612" i="1"/>
  <c r="G23" i="2"/>
  <c r="J33" i="1"/>
  <c r="I438" i="1"/>
  <c r="G632" i="1" s="1"/>
  <c r="C29" i="10"/>
  <c r="C20" i="10"/>
  <c r="L534" i="1"/>
  <c r="L221" i="1"/>
  <c r="G650" i="1" s="1"/>
  <c r="G654" i="1" s="1"/>
  <c r="J104" i="1"/>
  <c r="J185" i="1" s="1"/>
  <c r="L524" i="1"/>
  <c r="L374" i="1"/>
  <c r="G626" i="1" s="1"/>
  <c r="J626" i="1" s="1"/>
  <c r="C112" i="2"/>
  <c r="C120" i="2" s="1"/>
  <c r="H25" i="13"/>
  <c r="I450" i="1"/>
  <c r="I451" i="1" s="1"/>
  <c r="H632" i="1" s="1"/>
  <c r="C104" i="2"/>
  <c r="C107" i="2" s="1"/>
  <c r="I104" i="1"/>
  <c r="I185" i="1" s="1"/>
  <c r="G620" i="1" s="1"/>
  <c r="J620" i="1" s="1"/>
  <c r="C35" i="10"/>
  <c r="E110" i="2"/>
  <c r="E120" i="2" s="1"/>
  <c r="E50" i="2"/>
  <c r="E54" i="2" s="1"/>
  <c r="E55" i="2" s="1"/>
  <c r="E96" i="2" s="1"/>
  <c r="C15" i="10"/>
  <c r="C16" i="10"/>
  <c r="L519" i="1"/>
  <c r="L535" i="1" s="1"/>
  <c r="D48" i="2"/>
  <c r="D55" i="2" s="1"/>
  <c r="D96" i="2" s="1"/>
  <c r="C19" i="10"/>
  <c r="K542" i="1" l="1"/>
  <c r="H636" i="1"/>
  <c r="G627" i="1"/>
  <c r="J627" i="1" s="1"/>
  <c r="C136" i="2"/>
  <c r="C137" i="2" s="1"/>
  <c r="D20" i="10"/>
  <c r="J611" i="1"/>
  <c r="C36" i="10"/>
  <c r="C41" i="10" s="1"/>
  <c r="I650" i="1"/>
  <c r="I654" i="1" s="1"/>
  <c r="F654" i="1"/>
  <c r="J632" i="1"/>
  <c r="L249" i="1"/>
  <c r="L263" i="1" s="1"/>
  <c r="G622" i="1" s="1"/>
  <c r="J622" i="1" s="1"/>
  <c r="G657" i="1"/>
  <c r="G662" i="1"/>
  <c r="C5" i="10" s="1"/>
  <c r="D19" i="10"/>
  <c r="H33" i="13"/>
  <c r="C25" i="13"/>
  <c r="E137" i="2"/>
  <c r="C28" i="10"/>
  <c r="J44" i="1"/>
  <c r="H611" i="1" s="1"/>
  <c r="G616" i="1"/>
  <c r="D16" i="10"/>
  <c r="G636" i="1"/>
  <c r="G621" i="1"/>
  <c r="J621" i="1" s="1"/>
  <c r="G43" i="2"/>
  <c r="D37" i="10" l="1"/>
  <c r="D40" i="10"/>
  <c r="D39" i="10"/>
  <c r="D38" i="10"/>
  <c r="D35" i="10"/>
  <c r="J616" i="1"/>
  <c r="H646" i="1"/>
  <c r="I662" i="1"/>
  <c r="C7" i="10" s="1"/>
  <c r="I657" i="1"/>
  <c r="C30" i="10"/>
  <c r="D27" i="10"/>
  <c r="D22" i="10"/>
  <c r="D11" i="10"/>
  <c r="D21" i="10"/>
  <c r="D12" i="10"/>
  <c r="D24" i="10"/>
  <c r="D18" i="10"/>
  <c r="D10" i="10"/>
  <c r="D23" i="10"/>
  <c r="D17" i="10"/>
  <c r="D26" i="10"/>
  <c r="D25" i="10"/>
  <c r="D13" i="10"/>
  <c r="D15" i="10"/>
  <c r="F662" i="1"/>
  <c r="C4" i="10" s="1"/>
  <c r="F657" i="1"/>
  <c r="D36" i="10"/>
  <c r="J636" i="1"/>
  <c r="D41" i="10" l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6273706-ED69-4E1A-B3D4-AD6F6ED9C074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74C6D92-F89A-4531-A1B6-8AD362C0DBAA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EE359D43-4682-46FC-B58E-0F80C3606D35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76EEE88-7A0D-49F9-AF23-18550DDCE2AE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01BC1E6D-FDC3-45ED-A7F0-F158874A0097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7AC33C9-951D-489C-9AAB-406364B065FC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163ECF6D-4D2C-4D16-A43A-63FF0BD429D1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984C5008-47A3-4D18-B3BC-4BDA4BB8C024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0B5667FC-9700-4CE7-83F4-DBF577FE5B3A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F29BC7C2-13F6-4753-B8FF-F03BD91E6A93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02E78E24-85FC-4F9F-9F02-12F82BEC5AB7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C99F2D9-1836-4240-AC65-CDECF753CCBE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<sst xmlns="http://schemas.openxmlformats.org/spreadsheetml/2006/main" count="3860" uniqueCount="897">
  <si>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</si>
  <si>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</si>
  <si>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</si>
  <si>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</si>
  <si>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</si>
  <si>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</si>
  <si>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</si>
  <si>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</si>
  <si>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</si>
  <si>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</si>
  <si>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</si>
  <si>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</si>
  <si>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</si>
  <si>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</si>
  <si>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</si>
  <si>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</si>
  <si>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</si>
  <si>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</si>
  <si>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</si>
  <si>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</si>
  <si>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</si>
  <si>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</si>
  <si>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</si>
  <si>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</si>
  <si>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</si>
  <si>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</si>
  <si>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</si>
  <si>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</si>
  <si>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</si>
  <si>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</si>
  <si>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</si>
  <si>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</si>
  <si>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</si>
  <si>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</si>
  <si>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</si>
  <si>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</si>
  <si>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</si>
  <si>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</si>
  <si>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</si>
  <si>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</si>
  <si>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</si>
  <si>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</si>
  <si>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</si>
  <si>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</si>
  <si>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</si>
  <si>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</si>
  <si>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</si>
  <si>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</si>
  <si>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</si>
  <si>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</si>
  <si>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</si>
  <si>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</si>
  <si>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</si>
  <si>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</si>
  <si>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</si>
  <si>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</si>
  <si>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</si>
  <si>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</si>
  <si>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</si>
  <si>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</si>
  <si>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</si>
  <si>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</si>
  <si>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</si>
  <si>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</si>
  <si>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</si>
  <si>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</si>
  <si>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</si>
  <si>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</si>
  <si>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</si>
  <si>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</si>
  <si>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</si>
  <si>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</si>
  <si>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</si>
  <si>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</si>
  <si>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</si>
  <si>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</si>
  <si>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</si>
  <si>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</si>
  <si>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</si>
  <si>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</si>
  <si>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</si>
  <si>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</si>
  <si>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</si>
  <si>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</si>
  <si>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</si>
  <si>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</si>
  <si>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</si>
  <si>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</si>
  <si>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</si>
  <si>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</si>
  <si>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</si>
  <si>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</si>
  <si>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</si>
  <si>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</si>
  <si>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</si>
  <si>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</si>
  <si>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</si>
  <si>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</si>
  <si>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</si>
  <si>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</si>
  <si>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</si>
  <si>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</si>
  <si>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</si>
  <si>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</si>
  <si>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</si>
  <si>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</si>
  <si>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</si>
  <si>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</si>
  <si>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</si>
  <si>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</si>
  <si>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</si>
  <si>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</si>
  <si>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</si>
  <si>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</si>
  <si>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</si>
  <si>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</si>
  <si>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</si>
  <si>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</si>
  <si>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</si>
  <si>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</si>
  <si>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</si>
  <si>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</si>
  <si>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</si>
  <si>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</si>
  <si>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</si>
  <si>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</si>
  <si>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</si>
  <si>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</si>
  <si>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</si>
  <si>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</si>
  <si>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</si>
  <si>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</si>
  <si>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</si>
  <si>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</si>
  <si>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</si>
  <si>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</si>
  <si>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</si>
  <si>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</si>
  <si>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</si>
  <si>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</si>
  <si>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</si>
  <si>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</si>
  <si>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</si>
  <si>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</si>
  <si>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</si>
  <si>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</si>
  <si>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</si>
  <si>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</si>
  <si>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</si>
  <si>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</si>
  <si>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</si>
  <si>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</si>
  <si>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</si>
  <si>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</si>
  <si>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</si>
  <si>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</si>
  <si>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</si>
  <si>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</si>
  <si>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</si>
  <si>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</si>
  <si>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</si>
  <si>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</si>
  <si>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</si>
  <si>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</si>
  <si>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</si>
  <si>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</si>
  <si>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</si>
  <si>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</si>
  <si>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</si>
  <si>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</si>
  <si>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</si>
  <si>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</si>
  <si>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</si>
  <si>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</si>
  <si>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</si>
  <si>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</si>
  <si>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</si>
  <si>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</si>
  <si>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</si>
  <si>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</si>
  <si>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</si>
  <si>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</si>
  <si>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</si>
  <si>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</si>
  <si>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</si>
  <si>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</si>
  <si>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</si>
  <si>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</si>
  <si>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</si>
  <si>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</si>
  <si>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</si>
  <si>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</si>
  <si>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</si>
  <si>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</si>
  <si>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</si>
  <si>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</si>
  <si>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</si>
  <si>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</si>
  <si>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</si>
  <si>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</si>
  <si>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</si>
  <si>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</si>
  <si>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</si>
  <si>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</si>
  <si>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</si>
  <si>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</si>
  <si>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</si>
  <si>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</si>
  <si>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</si>
  <si>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</si>
  <si>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</si>
  <si>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</si>
  <si>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</si>
  <si>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</si>
  <si>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</si>
  <si>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</si>
  <si>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</si>
  <si>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</si>
  <si>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</si>
  <si>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</si>
  <si>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</si>
  <si>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</si>
  <si>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</si>
  <si>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</si>
  <si>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</si>
  <si>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</si>
  <si>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</si>
  <si>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</si>
  <si>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</si>
  <si>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</si>
  <si>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</si>
  <si>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</si>
  <si>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</si>
  <si>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</si>
  <si>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</si>
  <si>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</si>
  <si>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</si>
  <si>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</si>
  <si>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</si>
  <si>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</si>
  <si>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</si>
  <si>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</si>
  <si>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</si>
  <si>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</si>
  <si>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</si>
  <si>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</si>
  <si>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</si>
  <si>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</si>
  <si>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</si>
  <si>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</si>
  <si>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</si>
  <si>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</si>
  <si>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</si>
  <si>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</si>
  <si>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</si>
  <si>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</si>
  <si>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</si>
  <si>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</si>
  <si>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</si>
  <si>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</si>
  <si>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</si>
  <si>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</si>
  <si>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</si>
  <si>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</si>
  <si>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</si>
  <si>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</si>
  <si>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</si>
  <si>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</si>
  <si>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</si>
  <si>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</si>
  <si>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</si>
  <si>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</si>
  <si>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</si>
  <si>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</si>
  <si>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</si>
  <si>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</si>
  <si>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</si>
  <si>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</si>
  <si>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</si>
  <si>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</si>
  <si>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</si>
  <si>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</si>
  <si>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</si>
  <si>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</si>
  <si>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</si>
  <si>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</si>
  <si>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</si>
  <si>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</si>
  <si>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</si>
  <si>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</si>
  <si>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</si>
  <si>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</si>
  <si>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</si>
  <si>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</si>
  <si>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</si>
  <si>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</si>
  <si>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</si>
  <si>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</si>
  <si>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</si>
  <si>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</si>
  <si>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</si>
  <si>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</si>
  <si>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</si>
  <si>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</si>
  <si>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</si>
  <si>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</si>
  <si>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</si>
  <si>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</si>
  <si>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</si>
  <si>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</si>
  <si>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</si>
  <si>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</si>
  <si>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</si>
  <si>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</si>
  <si>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</si>
  <si>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</si>
  <si>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</si>
  <si>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</si>
  <si>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</si>
  <si>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</si>
  <si>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</si>
  <si>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</si>
  <si>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</si>
  <si>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</si>
  <si>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</si>
  <si>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</si>
  <si>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</si>
  <si>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</si>
  <si>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</si>
  <si>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</si>
  <si>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</si>
  <si>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</si>
  <si>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</si>
  <si>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</si>
  <si>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</si>
  <si>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</si>
  <si>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</si>
  <si>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</si>
  <si>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</si>
  <si>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</si>
  <si>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</si>
  <si>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</si>
  <si>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</si>
  <si>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</si>
  <si>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</si>
  <si>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</si>
  <si>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</si>
  <si>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</si>
  <si>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</si>
  <si>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</si>
  <si>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</si>
  <si>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</si>
  <si>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</si>
  <si>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</si>
  <si>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</si>
  <si>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</si>
  <si>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</si>
  <si>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</si>
  <si>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</si>
  <si>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</si>
  <si>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</si>
  <si>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</si>
  <si>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</si>
  <si>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</si>
  <si>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</si>
  <si>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</si>
  <si>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</si>
  <si>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</si>
  <si>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</si>
  <si>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</si>
  <si>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</si>
  <si>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</si>
  <si>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</si>
  <si>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</si>
  <si>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</si>
  <si>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</si>
  <si>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</si>
  <si>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</si>
  <si>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</si>
  <si>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</si>
  <si>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</si>
  <si>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</si>
  <si>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</si>
  <si>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</si>
  <si>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</si>
  <si>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</si>
  <si>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</si>
  <si>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</si>
  <si>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</si>
  <si>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</si>
  <si>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</si>
  <si>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</si>
  <si>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</si>
  <si>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</si>
  <si>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</si>
  <si>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</si>
  <si>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</si>
  <si>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</si>
  <si>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</si>
  <si>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</si>
  <si>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</si>
  <si>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</si>
  <si>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</si>
  <si>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</si>
  <si>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</si>
  <si>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</si>
  <si>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</si>
  <si>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</si>
  <si>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</si>
  <si>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</si>
  <si>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</si>
  <si>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</si>
  <si>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</si>
  <si>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</si>
  <si>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</si>
  <si>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</si>
  <si>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</si>
  <si>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</si>
  <si>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</si>
  <si>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</si>
  <si>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</si>
  <si>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</si>
  <si>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</si>
  <si>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</si>
  <si>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</si>
  <si>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</si>
  <si>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</si>
  <si>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</si>
  <si>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</si>
  <si>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</si>
  <si>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</si>
  <si>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</si>
  <si>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</si>
  <si>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</si>
  <si>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</si>
  <si>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</si>
  <si>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</si>
  <si>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</si>
  <si>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</si>
  <si>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</si>
  <si>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</si>
  <si>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</si>
  <si>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</si>
  <si>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</si>
  <si>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</si>
  <si>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</si>
  <si>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</si>
  <si>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</si>
  <si>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</si>
  <si>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</si>
  <si>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</si>
  <si>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</si>
  <si>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</si>
  <si>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</si>
  <si>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</si>
  <si>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</si>
  <si>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</si>
  <si>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</si>
  <si>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</si>
  <si>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</si>
  <si>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</si>
  <si>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</si>
  <si>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</si>
  <si>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</si>
  <si>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</si>
  <si>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</si>
  <si>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</si>
  <si>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</si>
  <si>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</si>
  <si>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</si>
  <si>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</si>
  <si>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</si>
  <si>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</si>
  <si>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</si>
  <si>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</si>
  <si>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</si>
  <si>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</si>
  <si>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</si>
  <si>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</si>
  <si>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</si>
  <si>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</si>
  <si>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</si>
  <si>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</si>
  <si>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</si>
  <si>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</si>
  <si>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</si>
  <si>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</si>
  <si>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</si>
  <si>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</si>
  <si>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</si>
  <si>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</si>
  <si>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</si>
  <si>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</si>
  <si>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</si>
  <si>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</si>
  <si>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</si>
  <si>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</si>
  <si>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</si>
  <si>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</si>
  <si>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</si>
  <si>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</si>
  <si>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</si>
  <si>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</si>
  <si>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</si>
  <si>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</si>
  <si>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</si>
  <si>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</si>
  <si>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</si>
  <si>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</si>
  <si>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</si>
  <si>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</si>
  <si>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</si>
  <si>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</si>
  <si>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</si>
  <si>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</si>
  <si>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</si>
  <si>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</si>
  <si>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</si>
  <si>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</si>
  <si>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</si>
  <si>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</si>
  <si>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</si>
  <si>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</si>
  <si>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</si>
  <si>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</si>
  <si>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</si>
  <si>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</si>
  <si>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</si>
  <si>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</si>
  <si>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</si>
  <si>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</si>
  <si>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</si>
  <si>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</si>
  <si>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</si>
  <si>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</si>
  <si>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</si>
  <si>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</si>
  <si>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</si>
  <si>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</si>
  <si>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</si>
  <si>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</si>
  <si>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</si>
  <si>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</si>
  <si>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</si>
  <si>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</si>
  <si>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</si>
  <si>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</si>
  <si>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</si>
  <si>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</si>
  <si>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</si>
  <si>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</si>
  <si>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</si>
  <si>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</si>
  <si>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</si>
  <si>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</si>
  <si>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</si>
  <si>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</si>
  <si>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</si>
  <si>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</si>
  <si>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</si>
  <si>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</si>
  <si>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</si>
  <si>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</si>
  <si>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</si>
  <si>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</si>
  <si>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</si>
  <si>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</si>
  <si>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</si>
  <si>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</si>
  <si>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</si>
  <si>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</si>
  <si>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</si>
  <si>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</si>
  <si>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</si>
  <si>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</si>
  <si>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</si>
  <si>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</si>
  <si>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</si>
  <si>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</si>
  <si>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</si>
  <si>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</si>
  <si>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</si>
  <si>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</si>
  <si>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</si>
  <si>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</si>
  <si>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</si>
  <si>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</si>
  <si>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</si>
  <si>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</si>
  <si>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</si>
  <si>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</si>
  <si>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</si>
  <si>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</si>
  <si>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</si>
  <si>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</si>
  <si>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</si>
  <si>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</si>
  <si>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</si>
  <si>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</si>
  <si>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</si>
  <si>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</si>
  <si>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</si>
  <si>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</si>
  <si>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</si>
  <si>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</si>
  <si>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</si>
  <si>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</si>
  <si>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</si>
  <si>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</si>
  <si>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</si>
  <si>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</si>
  <si>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</si>
  <si>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</si>
  <si>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</si>
  <si>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</si>
  <si>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</si>
  <si>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</si>
  <si>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</si>
  <si>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</si>
  <si>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</si>
  <si>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</si>
  <si>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</si>
  <si>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</si>
  <si>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</si>
  <si>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</si>
  <si>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</si>
  <si>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</si>
  <si>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</si>
  <si>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</si>
  <si>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</si>
  <si>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</si>
  <si>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</si>
  <si>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</si>
  <si>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</si>
  <si>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</si>
  <si>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</si>
  <si>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</si>
  <si>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</si>
  <si>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</si>
  <si>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</si>
  <si>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</si>
  <si>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</si>
  <si>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</si>
  <si>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</si>
  <si>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</si>
  <si>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</si>
  <si>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</si>
  <si>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</si>
  <si>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</si>
  <si>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</si>
  <si>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</si>
  <si>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</si>
  <si>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</si>
  <si>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</si>
  <si>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</si>
  <si>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</si>
  <si>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</si>
  <si>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</si>
  <si>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</si>
  <si>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</si>
  <si>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</si>
  <si>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</si>
  <si>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</si>
  <si>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</si>
  <si>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</si>
  <si>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</si>
  <si>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</si>
  <si>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</si>
  <si>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</si>
  <si>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</si>
  <si>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</si>
  <si>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</si>
  <si>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</si>
  <si>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</si>
  <si>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</si>
  <si>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</si>
  <si>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</si>
  <si>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</si>
  <si>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</si>
  <si>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</si>
  <si>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</si>
  <si>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</si>
  <si>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</si>
  <si>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</si>
  <si>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</si>
  <si>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</si>
  <si>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</si>
  <si>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</si>
  <si>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</si>
  <si>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</si>
  <si>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</si>
  <si>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</si>
  <si>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</si>
  <si>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</si>
  <si>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</si>
  <si>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</si>
  <si>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</si>
  <si>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</si>
  <si>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</si>
  <si>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</si>
  <si>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</si>
  <si>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</si>
  <si>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</si>
  <si>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</si>
  <si>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</si>
  <si>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</si>
  <si>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</si>
  <si>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</si>
  <si>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</si>
  <si>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</si>
  <si>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</si>
  <si>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</si>
  <si>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</si>
  <si>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</si>
  <si>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</si>
  <si>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</si>
  <si>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</si>
  <si>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</si>
  <si>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</si>
  <si>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</si>
  <si>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</si>
  <si>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</si>
  <si>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</si>
  <si>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</si>
  <si>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</si>
  <si>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</si>
  <si>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</si>
  <si>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</si>
  <si>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</si>
  <si>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</si>
  <si>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</si>
  <si>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</si>
  <si>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</si>
  <si>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</si>
  <si>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</si>
  <si>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</si>
  <si>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</si>
  <si>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</si>
  <si>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</si>
  <si>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</si>
  <si>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</si>
  <si>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</si>
  <si>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</si>
  <si>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</si>
  <si>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</si>
  <si>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</si>
  <si>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</si>
  <si>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</si>
  <si>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</si>
  <si>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</si>
  <si>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</si>
  <si>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</si>
  <si>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</si>
  <si>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</si>
  <si>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</si>
  <si>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</si>
  <si>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</si>
  <si>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</si>
  <si>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</si>
  <si>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</si>
  <si>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</si>
  <si>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</si>
  <si>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</si>
  <si>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</si>
  <si>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</si>
  <si>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</si>
  <si>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</si>
  <si>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</si>
  <si>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</si>
  <si>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</si>
  <si>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</si>
  <si>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</si>
  <si>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</si>
  <si>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</si>
  <si>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</si>
  <si>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</si>
  <si>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</si>
  <si>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</si>
  <si>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</si>
  <si>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</si>
  <si>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</si>
  <si>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</si>
  <si>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</si>
  <si>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</si>
  <si>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</si>
  <si>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</si>
  <si>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</si>
  <si>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</si>
  <si>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</si>
  <si>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</si>
  <si>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</si>
  <si>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</si>
  <si>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</si>
  <si>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</si>
  <si>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</si>
  <si>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</si>
  <si>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</si>
  <si>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</si>
  <si>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</si>
  <si>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</si>
  <si>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</si>
  <si>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</si>
  <si>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</si>
  <si>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</si>
  <si>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</si>
  <si>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</si>
  <si>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</si>
  <si>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</si>
  <si>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</si>
  <si>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</si>
  <si>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</si>
  <si>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</si>
  <si>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</si>
  <si>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</si>
  <si>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</si>
  <si>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</si>
  <si>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</si>
  <si>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</si>
  <si>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</si>
  <si>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</si>
  <si>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</si>
  <si>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</si>
  <si>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</si>
  <si>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</si>
  <si>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</si>
  <si>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</si>
  <si>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</si>
  <si>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</si>
  <si>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</si>
  <si>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</si>
  <si>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</si>
  <si>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</si>
  <si>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</si>
  <si>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</si>
  <si>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</si>
  <si>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</si>
  <si>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</si>
  <si>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</si>
  <si>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</si>
  <si>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</si>
  <si>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</si>
  <si>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</si>
  <si>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</si>
  <si>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</si>
  <si>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</si>
  <si>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</si>
  <si>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</si>
  <si>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</si>
  <si>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</si>
  <si>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</si>
  <si>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</si>
  <si>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</si>
  <si>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</si>
  <si>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</si>
  <si>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</si>
  <si>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</si>
  <si>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</si>
  <si>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</si>
  <si>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</si>
  <si>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</si>
  <si>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</si>
  <si>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</si>
  <si>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</si>
  <si>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</si>
  <si>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</si>
  <si>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</si>
  <si>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</si>
  <si>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</si>
  <si>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</si>
  <si>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</si>
  <si>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</si>
  <si>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</si>
  <si>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</si>
  <si>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</si>
  <si>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</si>
  <si>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</si>
  <si>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</si>
  <si>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</si>
  <si>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</si>
  <si>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</si>
  <si>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</si>
  <si>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</si>
  <si>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</si>
  <si>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</si>
  <si>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</si>
  <si>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</si>
  <si>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</si>
  <si>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</si>
  <si>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</si>
  <si>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</si>
  <si>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</si>
  <si>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</si>
  <si>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</si>
  <si>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</si>
  <si>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08/2000</t>
  </si>
  <si>
    <t>02/2015</t>
  </si>
  <si>
    <t>LITCHFIELD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</si>
</sst>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6A63-1736-407B-B486-E775176A6199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315</v>
      </c>
      <c r="C2" s="21">
        <v>315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1115291.68</v>
      </c>
      <c r="G9" s="18">
        <v>107402.76</v>
      </c>
      <c r="H9" s="18"/>
      <c r="I9" s="18"/>
      <c r="J9" s="67">
        <f>SUM(I431)</f>
        <v>154419.28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204245.88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4960.7700000000004</v>
      </c>
      <c r="H13" s="18">
        <v>203902.07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14769.01</v>
      </c>
      <c r="G14" s="18">
        <v>516.70000000000005</v>
      </c>
      <c r="H14" s="18">
        <v>1221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1334306.57</v>
      </c>
      <c r="G19" s="41">
        <f>SUM(G9:G18)</f>
        <v>112880.23</v>
      </c>
      <c r="H19" s="41">
        <f>SUM(H9:H18)</f>
        <v>205123.07</v>
      </c>
      <c r="I19" s="41">
        <f>SUM(I9:I18)</f>
        <v>0</v>
      </c>
      <c r="J19" s="41">
        <f>SUM(J9:J18)</f>
        <v>154419.28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204245.88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21908.69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27749.84</v>
      </c>
      <c r="G29" s="18">
        <v>270.16000000000003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492038.92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1725</v>
      </c>
      <c r="G31" s="18">
        <v>6530.62</v>
      </c>
      <c r="H31" s="18">
        <v>877.19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543422.44999999995</v>
      </c>
      <c r="G33" s="41">
        <f>SUM(G23:G32)</f>
        <v>6800.78</v>
      </c>
      <c r="H33" s="41">
        <f>SUM(H23:H32)</f>
        <v>205123.07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420319.58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106079.45</v>
      </c>
      <c r="H41" s="18"/>
      <c r="I41" s="18"/>
      <c r="J41" s="13">
        <f>SUM(I449)</f>
        <v>154419.28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370564.54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790884.12</v>
      </c>
      <c r="G43" s="41">
        <f>SUM(G35:G42)</f>
        <v>106079.45</v>
      </c>
      <c r="H43" s="41">
        <f>SUM(H35:H42)</f>
        <v>0</v>
      </c>
      <c r="I43" s="41">
        <f>SUM(I35:I42)</f>
        <v>0</v>
      </c>
      <c r="J43" s="41">
        <f>SUM(J35:J42)</f>
        <v>154419.28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1334306.5699999998</v>
      </c>
      <c r="G44" s="41">
        <f>G43+G33</f>
        <v>112880.23</v>
      </c>
      <c r="H44" s="41">
        <f>H43+H33</f>
        <v>205123.07</v>
      </c>
      <c r="I44" s="41">
        <f>I43+I33</f>
        <v>0</v>
      </c>
      <c r="J44" s="41">
        <f>J43+J33</f>
        <v>154419.28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10217075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10217075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14483.6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10842.5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12125.19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41628.050000000003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79079.34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9168.9500000000007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9168.9500000000007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9676.4599999999991</v>
      </c>
      <c r="G88" s="18">
        <v>234.64</v>
      </c>
      <c r="H88" s="18"/>
      <c r="I88" s="18"/>
      <c r="J88" s="18">
        <v>90.4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428654.84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1050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77892.36</v>
      </c>
      <c r="G102" s="18">
        <v>24780.880000000001</v>
      </c>
      <c r="H102" s="18">
        <v>16734.150000000001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88618.82</v>
      </c>
      <c r="G103" s="41">
        <f>SUM(G88:G102)</f>
        <v>453670.36000000004</v>
      </c>
      <c r="H103" s="41">
        <f>SUM(H88:H102)</f>
        <v>16734.150000000001</v>
      </c>
      <c r="I103" s="41">
        <f>SUM(I88:I102)</f>
        <v>0</v>
      </c>
      <c r="J103" s="41">
        <f>SUM(J88:J102)</f>
        <v>90.4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10393942.109999999</v>
      </c>
      <c r="G104" s="41">
        <f>G52+G103</f>
        <v>453670.36000000004</v>
      </c>
      <c r="H104" s="41">
        <f>H52+H71+H86+H103</f>
        <v>16734.150000000001</v>
      </c>
      <c r="I104" s="41">
        <f>I52+I103</f>
        <v>0</v>
      </c>
      <c r="J104" s="41">
        <f>J52+J103</f>
        <v>90.4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4426754.25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1830345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1698408.75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7955508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270050.24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212109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103500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137512.75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2544.8000000000002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5072.08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725716.79</v>
      </c>
      <c r="G128" s="41">
        <f>SUM(G115:G127)</f>
        <v>5072.08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8681224.7899999991</v>
      </c>
      <c r="G132" s="41">
        <f>G113+SUM(G128:G129)</f>
        <v>5072.08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>
        <v>435561.78</v>
      </c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159033.9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88392.73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96380.1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160908.51999999999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160908.51999999999</v>
      </c>
      <c r="G154" s="41">
        <f>SUM(G142:G153)</f>
        <v>96380.1</v>
      </c>
      <c r="H154" s="41">
        <f>SUM(H142:H153)</f>
        <v>682988.41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160908.51999999999</v>
      </c>
      <c r="G161" s="41">
        <f>G139+G154+SUM(G155:G160)</f>
        <v>96380.1</v>
      </c>
      <c r="H161" s="41">
        <f>H139+H154+SUM(H155:H160)</f>
        <v>682988.41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19236075.419999998</v>
      </c>
      <c r="G185" s="47">
        <f>G104+G132+G161+G184</f>
        <v>555122.54</v>
      </c>
      <c r="H185" s="47">
        <f>H104+H132+H161+H184</f>
        <v>699722.56</v>
      </c>
      <c r="I185" s="47">
        <f>I104+I132+I161+I184</f>
        <v>0</v>
      </c>
      <c r="J185" s="47">
        <f>J104+J132+J184</f>
        <v>50090.400000000001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1643586.73</v>
      </c>
      <c r="G189" s="18">
        <v>530556.54</v>
      </c>
      <c r="H189" s="18">
        <v>25861.88</v>
      </c>
      <c r="I189" s="18">
        <v>98881.59</v>
      </c>
      <c r="J189" s="18">
        <v>36353.85</v>
      </c>
      <c r="K189" s="18">
        <v>40</v>
      </c>
      <c r="L189" s="19">
        <f>SUM(F189:K189)</f>
        <v>2335280.59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486908.97</v>
      </c>
      <c r="G190" s="18">
        <v>107838.74</v>
      </c>
      <c r="H190" s="18">
        <v>113313.01</v>
      </c>
      <c r="I190" s="18">
        <v>3667.2</v>
      </c>
      <c r="J190" s="18">
        <v>6788.58</v>
      </c>
      <c r="K190" s="18">
        <v>4999.46</v>
      </c>
      <c r="L190" s="19">
        <f>SUM(F190:K190)</f>
        <v>723515.95999999985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8729.6200000000008</v>
      </c>
      <c r="G192" s="18">
        <v>1353.44</v>
      </c>
      <c r="H192" s="18"/>
      <c r="I192" s="18">
        <v>1871.53</v>
      </c>
      <c r="J192" s="18"/>
      <c r="K192" s="18">
        <v>73</v>
      </c>
      <c r="L192" s="19">
        <f>SUM(F192:K192)</f>
        <v>12027.590000000002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216256.75</v>
      </c>
      <c r="G194" s="18">
        <v>86121.93</v>
      </c>
      <c r="H194" s="18">
        <v>46683.31</v>
      </c>
      <c r="I194" s="18">
        <v>8995.94</v>
      </c>
      <c r="J194" s="18">
        <v>2094.8000000000002</v>
      </c>
      <c r="K194" s="18">
        <v>37.08</v>
      </c>
      <c r="L194" s="19">
        <f t="shared" ref="L194:L200" si="0">SUM(F194:K194)</f>
        <v>360189.81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90166.06</v>
      </c>
      <c r="G195" s="18">
        <v>42268.47</v>
      </c>
      <c r="H195" s="18">
        <v>11184.34</v>
      </c>
      <c r="I195" s="18">
        <v>15854.9</v>
      </c>
      <c r="J195" s="18">
        <v>709.41</v>
      </c>
      <c r="K195" s="18">
        <v>2081.15</v>
      </c>
      <c r="L195" s="19">
        <f t="shared" si="0"/>
        <v>162264.32999999999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118653</v>
      </c>
      <c r="G196" s="18">
        <v>37861.660000000003</v>
      </c>
      <c r="H196" s="18">
        <v>29399.93</v>
      </c>
      <c r="I196" s="18">
        <v>2234.6799999999998</v>
      </c>
      <c r="J196" s="18">
        <v>543.27</v>
      </c>
      <c r="K196" s="18">
        <v>4313.38</v>
      </c>
      <c r="L196" s="19">
        <f t="shared" si="0"/>
        <v>193005.91999999998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279749.64</v>
      </c>
      <c r="G197" s="18">
        <v>100106.62</v>
      </c>
      <c r="H197" s="18">
        <v>3435.33</v>
      </c>
      <c r="I197" s="18">
        <v>2796.16</v>
      </c>
      <c r="J197" s="18">
        <v>159</v>
      </c>
      <c r="K197" s="18">
        <v>3136.05</v>
      </c>
      <c r="L197" s="19">
        <f t="shared" si="0"/>
        <v>389382.8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66400.45</v>
      </c>
      <c r="G198" s="18">
        <v>20191</v>
      </c>
      <c r="H198" s="18">
        <v>14481.88</v>
      </c>
      <c r="I198" s="18">
        <v>2255.48</v>
      </c>
      <c r="J198" s="18"/>
      <c r="K198" s="18">
        <v>662.07</v>
      </c>
      <c r="L198" s="19">
        <f t="shared" si="0"/>
        <v>103990.88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221372.62</v>
      </c>
      <c r="G199" s="18">
        <v>90086.8</v>
      </c>
      <c r="H199" s="18">
        <v>160026.41</v>
      </c>
      <c r="I199" s="18">
        <v>136963.29999999999</v>
      </c>
      <c r="J199" s="18">
        <v>626.17999999999995</v>
      </c>
      <c r="K199" s="18">
        <v>2</v>
      </c>
      <c r="L199" s="19">
        <f t="shared" si="0"/>
        <v>609077.30999999994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229860.68</v>
      </c>
      <c r="I200" s="18">
        <v>1692.57</v>
      </c>
      <c r="J200" s="18"/>
      <c r="K200" s="18"/>
      <c r="L200" s="19">
        <f t="shared" si="0"/>
        <v>231553.25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49118.38</v>
      </c>
      <c r="G201" s="18">
        <v>23745.119999999999</v>
      </c>
      <c r="H201" s="18">
        <v>35256.53</v>
      </c>
      <c r="I201" s="18">
        <v>19407.36</v>
      </c>
      <c r="J201" s="18">
        <v>38424.230000000003</v>
      </c>
      <c r="K201" s="18">
        <v>594.37</v>
      </c>
      <c r="L201" s="19">
        <f>SUM(F201:K201)</f>
        <v>166545.99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3180942.2200000007</v>
      </c>
      <c r="G203" s="41">
        <f t="shared" si="1"/>
        <v>1040130.32</v>
      </c>
      <c r="H203" s="41">
        <f t="shared" si="1"/>
        <v>669503.30000000005</v>
      </c>
      <c r="I203" s="41">
        <f t="shared" si="1"/>
        <v>294620.71000000002</v>
      </c>
      <c r="J203" s="41">
        <f t="shared" si="1"/>
        <v>85699.32</v>
      </c>
      <c r="K203" s="41">
        <f t="shared" si="1"/>
        <v>15938.56</v>
      </c>
      <c r="L203" s="41">
        <f t="shared" si="1"/>
        <v>5286834.43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1846068.56</v>
      </c>
      <c r="G207" s="18">
        <v>600486.11</v>
      </c>
      <c r="H207" s="18">
        <v>23442.06</v>
      </c>
      <c r="I207" s="18">
        <v>76519.75</v>
      </c>
      <c r="J207" s="18">
        <v>4191.1000000000004</v>
      </c>
      <c r="K207" s="18">
        <v>294</v>
      </c>
      <c r="L207" s="19">
        <f>SUM(F207:K207)</f>
        <v>2551001.58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314768</v>
      </c>
      <c r="G208" s="18">
        <v>73988.58</v>
      </c>
      <c r="H208" s="18">
        <v>269076.71000000002</v>
      </c>
      <c r="I208" s="18">
        <v>7335.3</v>
      </c>
      <c r="J208" s="18">
        <v>2136.5500000000002</v>
      </c>
      <c r="K208" s="18">
        <v>4564.72</v>
      </c>
      <c r="L208" s="19">
        <f>SUM(F208:K208)</f>
        <v>671869.8600000001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40901.15</v>
      </c>
      <c r="G210" s="18">
        <v>4968.33</v>
      </c>
      <c r="H210" s="18">
        <v>2729.81</v>
      </c>
      <c r="I210" s="18">
        <v>4331.58</v>
      </c>
      <c r="J210" s="18"/>
      <c r="K210" s="18">
        <v>570</v>
      </c>
      <c r="L210" s="19">
        <f>SUM(F210:K210)</f>
        <v>53500.87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290983.34000000003</v>
      </c>
      <c r="G212" s="18">
        <v>78145.94</v>
      </c>
      <c r="H212" s="18">
        <v>45964.57</v>
      </c>
      <c r="I212" s="18">
        <v>9202.34</v>
      </c>
      <c r="J212" s="18">
        <v>3198.3</v>
      </c>
      <c r="K212" s="18">
        <v>37.799999999999997</v>
      </c>
      <c r="L212" s="19">
        <f t="shared" ref="L212:L218" si="2">SUM(F212:K212)</f>
        <v>427532.29000000004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85802.36</v>
      </c>
      <c r="G213" s="18">
        <v>42168.26</v>
      </c>
      <c r="H213" s="18">
        <v>10223.41</v>
      </c>
      <c r="I213" s="18">
        <v>10390.92</v>
      </c>
      <c r="J213" s="18">
        <v>25466.5</v>
      </c>
      <c r="K213" s="18">
        <v>1805.33</v>
      </c>
      <c r="L213" s="19">
        <f t="shared" si="2"/>
        <v>175856.78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115627.29</v>
      </c>
      <c r="G214" s="18">
        <v>36897.51</v>
      </c>
      <c r="H214" s="18">
        <v>29849.03</v>
      </c>
      <c r="I214" s="18">
        <v>2236.3000000000002</v>
      </c>
      <c r="J214" s="18">
        <v>553.88</v>
      </c>
      <c r="K214" s="18">
        <v>4329.8599999999997</v>
      </c>
      <c r="L214" s="19">
        <f t="shared" si="2"/>
        <v>189493.86999999997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255940.7</v>
      </c>
      <c r="G215" s="18">
        <v>77632.14</v>
      </c>
      <c r="H215" s="18">
        <v>8658.44</v>
      </c>
      <c r="I215" s="18">
        <v>2313.23</v>
      </c>
      <c r="J215" s="18"/>
      <c r="K215" s="18">
        <v>5957.25</v>
      </c>
      <c r="L215" s="19">
        <f t="shared" si="2"/>
        <v>350501.76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57600.39</v>
      </c>
      <c r="G216" s="18">
        <v>17515.080000000002</v>
      </c>
      <c r="H216" s="18">
        <v>12562.6</v>
      </c>
      <c r="I216" s="18">
        <v>1956.56</v>
      </c>
      <c r="J216" s="18"/>
      <c r="K216" s="18">
        <v>574.32000000000005</v>
      </c>
      <c r="L216" s="19">
        <f t="shared" si="2"/>
        <v>90208.950000000012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158613.16</v>
      </c>
      <c r="G217" s="18">
        <v>65414.67</v>
      </c>
      <c r="H217" s="18">
        <v>117090.22</v>
      </c>
      <c r="I217" s="18">
        <v>128182.04</v>
      </c>
      <c r="J217" s="18">
        <v>1061.25</v>
      </c>
      <c r="K217" s="18">
        <v>2.2799999999999998</v>
      </c>
      <c r="L217" s="19">
        <f t="shared" si="2"/>
        <v>470363.62000000005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207858.46</v>
      </c>
      <c r="I218" s="18">
        <v>1538.7</v>
      </c>
      <c r="J218" s="18"/>
      <c r="K218" s="18"/>
      <c r="L218" s="19">
        <f t="shared" si="2"/>
        <v>209397.16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42608.71</v>
      </c>
      <c r="G219" s="18">
        <v>20598.18</v>
      </c>
      <c r="H219" s="18">
        <v>35649.760000000002</v>
      </c>
      <c r="I219" s="18">
        <v>19429.71</v>
      </c>
      <c r="J219" s="18">
        <v>36228.82</v>
      </c>
      <c r="K219" s="18">
        <v>515.6</v>
      </c>
      <c r="L219" s="19">
        <f>SUM(F219:K219)</f>
        <v>155030.78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3208913.66</v>
      </c>
      <c r="G221" s="41">
        <f>SUM(G207:G220)</f>
        <v>1017814.8</v>
      </c>
      <c r="H221" s="41">
        <f>SUM(H207:H220)</f>
        <v>763105.07</v>
      </c>
      <c r="I221" s="41">
        <f>SUM(I207:I220)</f>
        <v>263436.43</v>
      </c>
      <c r="J221" s="41">
        <f>SUM(J207:J220)</f>
        <v>72836.399999999994</v>
      </c>
      <c r="K221" s="41">
        <f t="shared" si="3"/>
        <v>18651.159999999996</v>
      </c>
      <c r="L221" s="41">
        <f t="shared" si="3"/>
        <v>5344757.5200000014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1913841.25</v>
      </c>
      <c r="G225" s="18">
        <v>639688.43999999994</v>
      </c>
      <c r="H225" s="18">
        <v>34684.21</v>
      </c>
      <c r="I225" s="18">
        <v>125001.73</v>
      </c>
      <c r="J225" s="18">
        <v>21958.87</v>
      </c>
      <c r="K225" s="18">
        <v>2361</v>
      </c>
      <c r="L225" s="19">
        <f>SUM(F225:K225)</f>
        <v>2737535.5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412554.7</v>
      </c>
      <c r="G226" s="18">
        <v>108671.07</v>
      </c>
      <c r="H226" s="18">
        <v>420929.39</v>
      </c>
      <c r="I226" s="18">
        <v>6759.1</v>
      </c>
      <c r="J226" s="18">
        <v>1797.64</v>
      </c>
      <c r="K226" s="18">
        <v>4564.72</v>
      </c>
      <c r="L226" s="19">
        <f>SUM(F226:K226)</f>
        <v>955276.62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24663.59</v>
      </c>
      <c r="I227" s="18"/>
      <c r="J227" s="18"/>
      <c r="K227" s="18"/>
      <c r="L227" s="19">
        <f>SUM(F227:K227)</f>
        <v>24663.59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212622.03</v>
      </c>
      <c r="G228" s="18">
        <v>24752.37</v>
      </c>
      <c r="H228" s="18">
        <v>72009.679999999993</v>
      </c>
      <c r="I228" s="18">
        <v>35348.53</v>
      </c>
      <c r="J228" s="18">
        <v>2158.36</v>
      </c>
      <c r="K228" s="18">
        <v>11196</v>
      </c>
      <c r="L228" s="19">
        <f>SUM(F228:K228)</f>
        <v>358086.97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434005.51</v>
      </c>
      <c r="G230" s="18">
        <v>138107.35</v>
      </c>
      <c r="H230" s="18">
        <v>69961.429999999993</v>
      </c>
      <c r="I230" s="18">
        <v>13017.63</v>
      </c>
      <c r="J230" s="18">
        <v>2414.7399999999998</v>
      </c>
      <c r="K230" s="18">
        <v>270.12</v>
      </c>
      <c r="L230" s="19">
        <f t="shared" ref="L230:L236" si="4">SUM(F230:K230)</f>
        <v>657776.78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103961.74</v>
      </c>
      <c r="G231" s="18">
        <v>53643.94</v>
      </c>
      <c r="H231" s="18">
        <v>13629.3</v>
      </c>
      <c r="I231" s="18">
        <v>31118.560000000001</v>
      </c>
      <c r="J231" s="18">
        <v>34722.959999999999</v>
      </c>
      <c r="K231" s="18">
        <v>2206.52</v>
      </c>
      <c r="L231" s="19">
        <f t="shared" si="4"/>
        <v>239283.01999999996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119907.07</v>
      </c>
      <c r="G232" s="18">
        <v>38263.96</v>
      </c>
      <c r="H232" s="18">
        <v>31613.09</v>
      </c>
      <c r="I232" s="18">
        <v>2351.3000000000002</v>
      </c>
      <c r="J232" s="18">
        <v>587.83000000000004</v>
      </c>
      <c r="K232" s="18">
        <v>4559.67</v>
      </c>
      <c r="L232" s="19">
        <f t="shared" si="4"/>
        <v>197282.91999999998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289218.37</v>
      </c>
      <c r="G233" s="18">
        <v>89805.5</v>
      </c>
      <c r="H233" s="18">
        <v>22515.13</v>
      </c>
      <c r="I233" s="18">
        <v>4552.8100000000004</v>
      </c>
      <c r="J233" s="18">
        <v>2576.9699999999998</v>
      </c>
      <c r="K233" s="18">
        <v>14498.13</v>
      </c>
      <c r="L233" s="19">
        <f t="shared" si="4"/>
        <v>423166.91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70400.460000000006</v>
      </c>
      <c r="G234" s="18">
        <v>21407.33</v>
      </c>
      <c r="H234" s="18">
        <v>15354.28</v>
      </c>
      <c r="I234" s="18">
        <v>2391.35</v>
      </c>
      <c r="J234" s="18"/>
      <c r="K234" s="18">
        <v>701.95</v>
      </c>
      <c r="L234" s="19">
        <f t="shared" si="4"/>
        <v>110255.37000000001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230618.71</v>
      </c>
      <c r="G235" s="18">
        <v>96452.51</v>
      </c>
      <c r="H235" s="18">
        <v>202605.73</v>
      </c>
      <c r="I235" s="18">
        <v>262878.48</v>
      </c>
      <c r="J235" s="18">
        <v>15732.24</v>
      </c>
      <c r="K235" s="18">
        <v>3.72</v>
      </c>
      <c r="L235" s="19">
        <f t="shared" si="4"/>
        <v>808291.3899999999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278596.83</v>
      </c>
      <c r="I236" s="18">
        <v>769.35</v>
      </c>
      <c r="J236" s="18"/>
      <c r="K236" s="18"/>
      <c r="L236" s="19">
        <f t="shared" si="4"/>
        <v>279366.18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52077.31</v>
      </c>
      <c r="G237" s="18">
        <v>25175.55</v>
      </c>
      <c r="H237" s="18">
        <v>38439.57</v>
      </c>
      <c r="I237" s="18">
        <v>25264.5</v>
      </c>
      <c r="J237" s="18">
        <v>39274.26</v>
      </c>
      <c r="K237" s="18">
        <v>630.16999999999996</v>
      </c>
      <c r="L237" s="19">
        <f>SUM(F237:K237)</f>
        <v>180861.36000000002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3839207.1500000004</v>
      </c>
      <c r="G239" s="41">
        <f t="shared" si="5"/>
        <v>1235968.02</v>
      </c>
      <c r="H239" s="41">
        <f t="shared" si="5"/>
        <v>1225002.2300000002</v>
      </c>
      <c r="I239" s="41">
        <f t="shared" si="5"/>
        <v>509453.33999999997</v>
      </c>
      <c r="J239" s="41">
        <f t="shared" si="5"/>
        <v>121223.87</v>
      </c>
      <c r="K239" s="41">
        <f t="shared" si="5"/>
        <v>40991.999999999993</v>
      </c>
      <c r="L239" s="41">
        <f t="shared" si="5"/>
        <v>6971846.6099999994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31582.52</v>
      </c>
      <c r="G242" s="18">
        <v>4509.33</v>
      </c>
      <c r="H242" s="18"/>
      <c r="I242" s="18"/>
      <c r="J242" s="18"/>
      <c r="K242" s="18"/>
      <c r="L242" s="19">
        <f t="shared" ref="L242:L247" si="6">SUM(F242:K242)</f>
        <v>36091.85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14166.35</v>
      </c>
      <c r="G243" s="18">
        <v>1741.01</v>
      </c>
      <c r="H243" s="18">
        <v>959.64</v>
      </c>
      <c r="I243" s="18">
        <v>276.95999999999998</v>
      </c>
      <c r="J243" s="18"/>
      <c r="K243" s="18"/>
      <c r="L243" s="19">
        <f t="shared" si="6"/>
        <v>17143.96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324557.78999999998</v>
      </c>
      <c r="I247" s="18"/>
      <c r="J247" s="18">
        <v>13952.6</v>
      </c>
      <c r="K247" s="18"/>
      <c r="L247" s="19">
        <f t="shared" si="6"/>
        <v>338510.38999999996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45748.87</v>
      </c>
      <c r="G248" s="41">
        <f t="shared" si="7"/>
        <v>6250.34</v>
      </c>
      <c r="H248" s="41">
        <f t="shared" si="7"/>
        <v>325517.43</v>
      </c>
      <c r="I248" s="41">
        <f t="shared" si="7"/>
        <v>276.95999999999998</v>
      </c>
      <c r="J248" s="41">
        <f t="shared" si="7"/>
        <v>13952.6</v>
      </c>
      <c r="K248" s="41">
        <f t="shared" si="7"/>
        <v>0</v>
      </c>
      <c r="L248" s="41">
        <f>SUM(F248:K248)</f>
        <v>391746.2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10274811.9</v>
      </c>
      <c r="G249" s="41">
        <f t="shared" si="8"/>
        <v>3300163.48</v>
      </c>
      <c r="H249" s="41">
        <f t="shared" si="8"/>
        <v>2983128.0300000007</v>
      </c>
      <c r="I249" s="41">
        <f t="shared" si="8"/>
        <v>1067787.44</v>
      </c>
      <c r="J249" s="41">
        <f t="shared" si="8"/>
        <v>293712.18999999994</v>
      </c>
      <c r="K249" s="41">
        <f t="shared" si="8"/>
        <v>75581.719999999987</v>
      </c>
      <c r="L249" s="41">
        <f t="shared" si="8"/>
        <v>17995184.760000002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800000</v>
      </c>
      <c r="L252" s="19">
        <f>SUM(F252:K252)</f>
        <v>800000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235462.45</v>
      </c>
      <c r="L253" s="19">
        <f>SUM(F253:K253)</f>
        <v>235462.45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1085462.45</v>
      </c>
      <c r="L262" s="41">
        <f t="shared" si="9"/>
        <v>1085462.45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10274811.9</v>
      </c>
      <c r="G263" s="42">
        <f t="shared" si="11"/>
        <v>3300163.48</v>
      </c>
      <c r="H263" s="42">
        <f t="shared" si="11"/>
        <v>2983128.0300000007</v>
      </c>
      <c r="I263" s="42">
        <f t="shared" si="11"/>
        <v>1067787.44</v>
      </c>
      <c r="J263" s="42">
        <f t="shared" si="11"/>
        <v>293712.18999999994</v>
      </c>
      <c r="K263" s="42">
        <f t="shared" si="11"/>
        <v>1161044.17</v>
      </c>
      <c r="L263" s="42">
        <f t="shared" si="11"/>
        <v>19080647.210000001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40088.339999999997</v>
      </c>
      <c r="G268" s="18">
        <v>5255.07</v>
      </c>
      <c r="H268" s="18">
        <v>10575.45</v>
      </c>
      <c r="I268" s="18">
        <v>6592.53</v>
      </c>
      <c r="J268" s="18">
        <v>2854</v>
      </c>
      <c r="K268" s="18"/>
      <c r="L268" s="19">
        <f>SUM(F268:K268)</f>
        <v>65365.39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743.08</v>
      </c>
      <c r="G269" s="18">
        <v>99.89</v>
      </c>
      <c r="H269" s="18">
        <v>3835.09</v>
      </c>
      <c r="I269" s="18">
        <v>11021.16</v>
      </c>
      <c r="J269" s="18">
        <v>22441.17</v>
      </c>
      <c r="K269" s="18">
        <v>434.92</v>
      </c>
      <c r="L269" s="19">
        <f>SUM(F269:K269)</f>
        <v>38575.31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24093.37</v>
      </c>
      <c r="G273" s="18">
        <v>7998.78</v>
      </c>
      <c r="H273" s="18"/>
      <c r="I273" s="18"/>
      <c r="J273" s="18"/>
      <c r="K273" s="18"/>
      <c r="L273" s="19">
        <f t="shared" ref="L273:L279" si="12">SUM(F273:K273)</f>
        <v>32092.149999999998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500</v>
      </c>
      <c r="I274" s="18"/>
      <c r="J274" s="18"/>
      <c r="K274" s="18"/>
      <c r="L274" s="19">
        <f t="shared" si="12"/>
        <v>500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64924.789999999994</v>
      </c>
      <c r="G282" s="42">
        <f t="shared" si="13"/>
        <v>13353.74</v>
      </c>
      <c r="H282" s="42">
        <f t="shared" si="13"/>
        <v>14910.54</v>
      </c>
      <c r="I282" s="42">
        <f t="shared" si="13"/>
        <v>17613.689999999999</v>
      </c>
      <c r="J282" s="42">
        <f t="shared" si="13"/>
        <v>25295.17</v>
      </c>
      <c r="K282" s="42">
        <f t="shared" si="13"/>
        <v>434.92</v>
      </c>
      <c r="L282" s="41">
        <f t="shared" si="13"/>
        <v>136532.85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53680.02</v>
      </c>
      <c r="G287" s="18">
        <v>7666.06</v>
      </c>
      <c r="H287" s="18">
        <v>9173.89</v>
      </c>
      <c r="I287" s="18">
        <v>5039.07</v>
      </c>
      <c r="J287" s="18"/>
      <c r="K287" s="18"/>
      <c r="L287" s="19">
        <f>SUM(F287:K287)</f>
        <v>75559.040000000008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85560.22</v>
      </c>
      <c r="G288" s="18">
        <v>25935.61</v>
      </c>
      <c r="H288" s="18">
        <v>10385.950000000001</v>
      </c>
      <c r="I288" s="18">
        <v>7792.09</v>
      </c>
      <c r="J288" s="18">
        <v>23713.59</v>
      </c>
      <c r="K288" s="18">
        <v>397.1</v>
      </c>
      <c r="L288" s="19">
        <f>SUM(F288:K288)</f>
        <v>153784.56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24563.94</v>
      </c>
      <c r="G292" s="18">
        <v>8155</v>
      </c>
      <c r="H292" s="18">
        <v>2538.3000000000002</v>
      </c>
      <c r="I292" s="18"/>
      <c r="J292" s="18"/>
      <c r="K292" s="18">
        <v>1250</v>
      </c>
      <c r="L292" s="19">
        <f t="shared" ref="L292:L298" si="14">SUM(F292:K292)</f>
        <v>36507.24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163804.18</v>
      </c>
      <c r="G301" s="42">
        <f t="shared" si="15"/>
        <v>41756.67</v>
      </c>
      <c r="H301" s="42">
        <f t="shared" si="15"/>
        <v>22098.14</v>
      </c>
      <c r="I301" s="42">
        <f t="shared" si="15"/>
        <v>12831.16</v>
      </c>
      <c r="J301" s="42">
        <f t="shared" si="15"/>
        <v>23713.59</v>
      </c>
      <c r="K301" s="42">
        <f t="shared" si="15"/>
        <v>1647.1</v>
      </c>
      <c r="L301" s="41">
        <f t="shared" si="15"/>
        <v>265850.84000000003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36521.99</v>
      </c>
      <c r="G306" s="18">
        <v>5521.54</v>
      </c>
      <c r="H306" s="18">
        <v>12062.69</v>
      </c>
      <c r="I306" s="18">
        <v>6959.4</v>
      </c>
      <c r="J306" s="18">
        <v>7476.17</v>
      </c>
      <c r="K306" s="18"/>
      <c r="L306" s="19">
        <f>SUM(F306:K306)</f>
        <v>68541.790000000008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77977.87</v>
      </c>
      <c r="G307" s="18">
        <v>31125.37</v>
      </c>
      <c r="H307" s="18">
        <v>1565.95</v>
      </c>
      <c r="I307" s="18">
        <v>8470.7999999999993</v>
      </c>
      <c r="J307" s="18">
        <v>13821.53</v>
      </c>
      <c r="K307" s="18">
        <v>397.1</v>
      </c>
      <c r="L307" s="19">
        <f>SUM(F307:K307)</f>
        <v>133358.62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51559.11</v>
      </c>
      <c r="G311" s="18">
        <v>17749.59</v>
      </c>
      <c r="H311" s="18">
        <v>7783.02</v>
      </c>
      <c r="I311" s="18"/>
      <c r="J311" s="18"/>
      <c r="K311" s="18">
        <v>549</v>
      </c>
      <c r="L311" s="19">
        <f t="shared" ref="L311:L317" si="16">SUM(F311:K311)</f>
        <v>77640.72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6777.74</v>
      </c>
      <c r="I317" s="18"/>
      <c r="J317" s="18"/>
      <c r="K317" s="18"/>
      <c r="L317" s="19">
        <f t="shared" si="16"/>
        <v>6777.74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166058.96999999997</v>
      </c>
      <c r="G320" s="42">
        <f t="shared" si="17"/>
        <v>54396.5</v>
      </c>
      <c r="H320" s="42">
        <f t="shared" si="17"/>
        <v>28189.4</v>
      </c>
      <c r="I320" s="42">
        <f t="shared" si="17"/>
        <v>15430.199999999999</v>
      </c>
      <c r="J320" s="42">
        <f t="shared" si="17"/>
        <v>21297.7</v>
      </c>
      <c r="K320" s="42">
        <f t="shared" si="17"/>
        <v>946.1</v>
      </c>
      <c r="L320" s="41">
        <f t="shared" si="17"/>
        <v>286318.87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>
        <v>11020</v>
      </c>
      <c r="K328" s="18"/>
      <c r="L328" s="19">
        <f t="shared" si="18"/>
        <v>11020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11020</v>
      </c>
      <c r="K329" s="41">
        <f t="shared" si="19"/>
        <v>0</v>
      </c>
      <c r="L329" s="41">
        <f t="shared" si="18"/>
        <v>11020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394787.93999999994</v>
      </c>
      <c r="G330" s="41">
        <f t="shared" si="20"/>
        <v>109506.91</v>
      </c>
      <c r="H330" s="41">
        <f t="shared" si="20"/>
        <v>65198.080000000002</v>
      </c>
      <c r="I330" s="41">
        <f t="shared" si="20"/>
        <v>45875.049999999996</v>
      </c>
      <c r="J330" s="41">
        <f t="shared" si="20"/>
        <v>81326.459999999992</v>
      </c>
      <c r="K330" s="41">
        <f t="shared" si="20"/>
        <v>3028.12</v>
      </c>
      <c r="L330" s="41">
        <f t="shared" si="20"/>
        <v>699722.56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394787.93999999994</v>
      </c>
      <c r="G344" s="41">
        <f>G330</f>
        <v>109506.91</v>
      </c>
      <c r="H344" s="41">
        <f>H330</f>
        <v>65198.080000000002</v>
      </c>
      <c r="I344" s="41">
        <f>I330</f>
        <v>45875.049999999996</v>
      </c>
      <c r="J344" s="41">
        <f>J330</f>
        <v>81326.459999999992</v>
      </c>
      <c r="K344" s="47">
        <f>K330+K343</f>
        <v>3028.12</v>
      </c>
      <c r="L344" s="41">
        <f>L330+L343</f>
        <v>699722.56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59160.6</v>
      </c>
      <c r="G350" s="18">
        <v>8258.35</v>
      </c>
      <c r="H350" s="18">
        <v>3691.35</v>
      </c>
      <c r="I350" s="18">
        <v>66590.91</v>
      </c>
      <c r="J350" s="18">
        <v>671.21</v>
      </c>
      <c r="K350" s="18">
        <v>694.84</v>
      </c>
      <c r="L350" s="13">
        <f>SUM(F350:K350)</f>
        <v>139067.26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59424.02</v>
      </c>
      <c r="G351" s="18">
        <v>8332.4</v>
      </c>
      <c r="H351" s="18">
        <v>1887.78</v>
      </c>
      <c r="I351" s="18">
        <v>104718.93</v>
      </c>
      <c r="J351" s="18">
        <v>2151.42</v>
      </c>
      <c r="K351" s="18">
        <v>655.02</v>
      </c>
      <c r="L351" s="19">
        <f>SUM(F351:K351)</f>
        <v>177169.57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81210.39</v>
      </c>
      <c r="G352" s="18">
        <v>22537.62</v>
      </c>
      <c r="H352" s="18">
        <v>4384.9399999999996</v>
      </c>
      <c r="I352" s="18">
        <v>132262.6</v>
      </c>
      <c r="J352" s="18">
        <v>1394.51</v>
      </c>
      <c r="K352" s="18">
        <v>704.64</v>
      </c>
      <c r="L352" s="19">
        <f>SUM(F352:K352)</f>
        <v>242494.7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199795.01</v>
      </c>
      <c r="G354" s="47">
        <f t="shared" si="22"/>
        <v>39128.369999999995</v>
      </c>
      <c r="H354" s="47">
        <f t="shared" si="22"/>
        <v>9964.07</v>
      </c>
      <c r="I354" s="47">
        <f t="shared" si="22"/>
        <v>303572.44</v>
      </c>
      <c r="J354" s="47">
        <f t="shared" si="22"/>
        <v>4217.1400000000003</v>
      </c>
      <c r="K354" s="47">
        <f t="shared" si="22"/>
        <v>2054.5</v>
      </c>
      <c r="L354" s="47">
        <f t="shared" si="22"/>
        <v>558731.53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62377.93</v>
      </c>
      <c r="G359" s="18">
        <v>100260.81</v>
      </c>
      <c r="H359" s="18">
        <v>126598.7</v>
      </c>
      <c r="I359" s="56">
        <f>SUM(F359:H359)</f>
        <v>289237.44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4212.9799999999996</v>
      </c>
      <c r="G360" s="63">
        <v>4458.12</v>
      </c>
      <c r="H360" s="63">
        <v>5663.9</v>
      </c>
      <c r="I360" s="56">
        <f>SUM(F360:H360)</f>
        <v>14334.999999999998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66590.91</v>
      </c>
      <c r="G361" s="47">
        <f>SUM(G359:G360)</f>
        <v>104718.93</v>
      </c>
      <c r="H361" s="47">
        <f>SUM(H359:H360)</f>
        <v>132262.6</v>
      </c>
      <c r="I361" s="47">
        <f>SUM(I359:I360)</f>
        <v>303572.44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39.28</v>
      </c>
      <c r="I388" s="18"/>
      <c r="J388" s="24" t="s">
        <v>312</v>
      </c>
      <c r="K388" s="24" t="s">
        <v>312</v>
      </c>
      <c r="L388" s="56">
        <f t="shared" si="26"/>
        <v>39.28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51.12</v>
      </c>
      <c r="I389" s="18"/>
      <c r="J389" s="24" t="s">
        <v>312</v>
      </c>
      <c r="K389" s="24" t="s">
        <v>312</v>
      </c>
      <c r="L389" s="56">
        <f t="shared" si="26"/>
        <v>50051.12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90.4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50090.400000000001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90.4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50090.400000000001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154419.28</v>
      </c>
      <c r="H431" s="18"/>
      <c r="I431" s="56">
        <f t="shared" ref="I431:I437" si="33">SUM(F431:H431)</f>
        <v>154419.28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154419.28</v>
      </c>
      <c r="H438" s="13">
        <f>SUM(H431:H437)</f>
        <v>0</v>
      </c>
      <c r="I438" s="13">
        <f>SUM(I431:I437)</f>
        <v>154419.28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154419.28</v>
      </c>
      <c r="H449" s="18"/>
      <c r="I449" s="56">
        <f>SUM(F449:H449)</f>
        <v>154419.28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154419.28</v>
      </c>
      <c r="H450" s="83">
        <f>SUM(H446:H449)</f>
        <v>0</v>
      </c>
      <c r="I450" s="83">
        <f>SUM(I446:I449)</f>
        <v>154419.28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154419.28</v>
      </c>
      <c r="H451" s="42">
        <f>H444+H450</f>
        <v>0</v>
      </c>
      <c r="I451" s="42">
        <f>I444+I450</f>
        <v>154419.28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635455.91</v>
      </c>
      <c r="G455" s="18">
        <v>109688.44</v>
      </c>
      <c r="H455" s="18">
        <v>0</v>
      </c>
      <c r="I455" s="18"/>
      <c r="J455" s="18">
        <v>104328.88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19236075.420000002</v>
      </c>
      <c r="G458" s="18">
        <v>555122.54</v>
      </c>
      <c r="H458" s="18">
        <v>699722.56</v>
      </c>
      <c r="I458" s="18"/>
      <c r="J458" s="18">
        <v>50090.400000000001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19236075.420000002</v>
      </c>
      <c r="G460" s="53">
        <f>SUM(G458:G459)</f>
        <v>555122.54</v>
      </c>
      <c r="H460" s="53">
        <f>SUM(H458:H459)</f>
        <v>699722.56</v>
      </c>
      <c r="I460" s="53">
        <f>SUM(I458:I459)</f>
        <v>0</v>
      </c>
      <c r="J460" s="53">
        <f>SUM(J458:J459)</f>
        <v>50090.400000000001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19080647.210000001</v>
      </c>
      <c r="G462" s="18">
        <v>558731.53</v>
      </c>
      <c r="H462" s="18">
        <v>699722.56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19080647.210000001</v>
      </c>
      <c r="G464" s="53">
        <f>SUM(G462:G463)</f>
        <v>558731.53</v>
      </c>
      <c r="H464" s="53">
        <f>SUM(H462:H463)</f>
        <v>699722.56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790884.12000000104</v>
      </c>
      <c r="G466" s="53">
        <f>(G455+G460)- G464</f>
        <v>106079.44999999995</v>
      </c>
      <c r="H466" s="53">
        <f>(H455+H460)- H464</f>
        <v>0</v>
      </c>
      <c r="I466" s="53">
        <f>(I455+I460)- I464</f>
        <v>0</v>
      </c>
      <c r="J466" s="53">
        <f>(J455+J460)- J464</f>
        <v>154419.28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11685000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5.14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4485000</v>
      </c>
      <c r="G485" s="18"/>
      <c r="H485" s="18"/>
      <c r="I485" s="18"/>
      <c r="J485" s="18"/>
      <c r="K485" s="53">
        <f>SUM(F485:J485)</f>
        <v>4485000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800000</v>
      </c>
      <c r="G487" s="18"/>
      <c r="H487" s="18"/>
      <c r="I487" s="18"/>
      <c r="J487" s="18"/>
      <c r="K487" s="53">
        <f t="shared" si="34"/>
        <v>800000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3685000</v>
      </c>
      <c r="G488" s="205"/>
      <c r="H488" s="205"/>
      <c r="I488" s="205"/>
      <c r="J488" s="205"/>
      <c r="K488" s="206">
        <f t="shared" si="34"/>
        <v>3685000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547312.5</v>
      </c>
      <c r="G489" s="18"/>
      <c r="H489" s="18"/>
      <c r="I489" s="18"/>
      <c r="J489" s="18"/>
      <c r="K489" s="53">
        <f t="shared" si="34"/>
        <v>547312.5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4232312.5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4232312.5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800000</v>
      </c>
      <c r="G491" s="205"/>
      <c r="H491" s="205"/>
      <c r="I491" s="205"/>
      <c r="J491" s="205"/>
      <c r="K491" s="206">
        <f t="shared" si="34"/>
        <v>800000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193462.5</v>
      </c>
      <c r="G492" s="18"/>
      <c r="H492" s="18"/>
      <c r="I492" s="18"/>
      <c r="J492" s="18"/>
      <c r="K492" s="53">
        <f t="shared" si="34"/>
        <v>193462.5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993462.5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993462.5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597872.02</v>
      </c>
      <c r="G497" s="144"/>
      <c r="H497" s="144"/>
      <c r="I497" s="144">
        <v>608700.9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487652.04</v>
      </c>
      <c r="G511" s="18">
        <v>107938.63</v>
      </c>
      <c r="H511" s="18">
        <v>113005.58</v>
      </c>
      <c r="I511" s="18">
        <v>14688.36</v>
      </c>
      <c r="J511" s="18">
        <v>29229.75</v>
      </c>
      <c r="K511" s="18">
        <v>5434.38</v>
      </c>
      <c r="L511" s="88">
        <f>SUM(F511:K511)</f>
        <v>757948.73999999987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400328.23</v>
      </c>
      <c r="G512" s="18">
        <v>99924.19</v>
      </c>
      <c r="H512" s="18">
        <v>275680.36</v>
      </c>
      <c r="I512" s="18">
        <v>15127.39</v>
      </c>
      <c r="J512" s="18">
        <v>25850.14</v>
      </c>
      <c r="K512" s="18">
        <v>4961.82</v>
      </c>
      <c r="L512" s="88">
        <f>SUM(F512:K512)</f>
        <v>821872.13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490532.56</v>
      </c>
      <c r="G513" s="18">
        <v>139796.44</v>
      </c>
      <c r="H513" s="18">
        <v>418713.04</v>
      </c>
      <c r="I513" s="18">
        <v>15229.9</v>
      </c>
      <c r="J513" s="18">
        <v>15619.17</v>
      </c>
      <c r="K513" s="18">
        <v>4961.82</v>
      </c>
      <c r="L513" s="88">
        <f>SUM(F513:K513)</f>
        <v>1084852.93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1378512.83</v>
      </c>
      <c r="G514" s="108">
        <f t="shared" ref="G514:L514" si="35">SUM(G511:G513)</f>
        <v>347659.26</v>
      </c>
      <c r="H514" s="108">
        <f t="shared" si="35"/>
        <v>807398.98</v>
      </c>
      <c r="I514" s="108">
        <f t="shared" si="35"/>
        <v>45045.65</v>
      </c>
      <c r="J514" s="108">
        <f t="shared" si="35"/>
        <v>70699.06</v>
      </c>
      <c r="K514" s="108">
        <f t="shared" si="35"/>
        <v>15358.02</v>
      </c>
      <c r="L514" s="89">
        <f t="shared" si="35"/>
        <v>2664673.7999999998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129163.38</v>
      </c>
      <c r="G516" s="18">
        <v>43960.18</v>
      </c>
      <c r="H516" s="18">
        <v>47109.75</v>
      </c>
      <c r="I516" s="18">
        <v>2062.8200000000002</v>
      </c>
      <c r="J516" s="18">
        <v>298.93</v>
      </c>
      <c r="K516" s="18">
        <v>40.69</v>
      </c>
      <c r="L516" s="88">
        <f>SUM(F516:K516)</f>
        <v>222635.75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117931.78</v>
      </c>
      <c r="G517" s="18">
        <v>40137.56</v>
      </c>
      <c r="H517" s="18">
        <v>43013.25</v>
      </c>
      <c r="I517" s="18">
        <v>1883.44</v>
      </c>
      <c r="J517" s="18">
        <v>272.94</v>
      </c>
      <c r="K517" s="18">
        <v>37.15</v>
      </c>
      <c r="L517" s="88">
        <f>SUM(F517:K517)</f>
        <v>203276.12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117931.78</v>
      </c>
      <c r="G518" s="18">
        <v>40137.56</v>
      </c>
      <c r="H518" s="18">
        <v>43013.25</v>
      </c>
      <c r="I518" s="18">
        <v>1883.44</v>
      </c>
      <c r="J518" s="18">
        <v>272.94</v>
      </c>
      <c r="K518" s="18">
        <v>37.15</v>
      </c>
      <c r="L518" s="88">
        <f>SUM(F518:K518)</f>
        <v>203276.12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365026.94</v>
      </c>
      <c r="G519" s="89">
        <f t="shared" ref="G519:L519" si="36">SUM(G516:G518)</f>
        <v>124235.29999999999</v>
      </c>
      <c r="H519" s="89">
        <f t="shared" si="36"/>
        <v>133136.25</v>
      </c>
      <c r="I519" s="89">
        <f t="shared" si="36"/>
        <v>5829.7000000000007</v>
      </c>
      <c r="J519" s="89">
        <f t="shared" si="36"/>
        <v>844.81</v>
      </c>
      <c r="K519" s="89">
        <f t="shared" si="36"/>
        <v>114.99000000000001</v>
      </c>
      <c r="L519" s="89">
        <f t="shared" si="36"/>
        <v>629187.99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50176.25</v>
      </c>
      <c r="G521" s="18">
        <v>15998.39</v>
      </c>
      <c r="H521" s="18">
        <v>1174.95</v>
      </c>
      <c r="I521" s="18">
        <v>394.71</v>
      </c>
      <c r="J521" s="18"/>
      <c r="K521" s="18">
        <v>636.39</v>
      </c>
      <c r="L521" s="88">
        <f>SUM(F521:K521)</f>
        <v>68380.69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45813.1</v>
      </c>
      <c r="G522" s="18">
        <v>14607.22</v>
      </c>
      <c r="H522" s="18">
        <v>1072.78</v>
      </c>
      <c r="I522" s="18">
        <v>360.39</v>
      </c>
      <c r="J522" s="18"/>
      <c r="K522" s="18">
        <v>581.04999999999995</v>
      </c>
      <c r="L522" s="88">
        <f>SUM(F522:K522)</f>
        <v>62434.54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45813.1</v>
      </c>
      <c r="G523" s="18">
        <v>14607.22</v>
      </c>
      <c r="H523" s="18">
        <v>1072.78</v>
      </c>
      <c r="I523" s="18">
        <v>360.39</v>
      </c>
      <c r="J523" s="18"/>
      <c r="K523" s="18">
        <v>581.04999999999995</v>
      </c>
      <c r="L523" s="88">
        <f>SUM(F523:K523)</f>
        <v>62434.54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141802.45000000001</v>
      </c>
      <c r="G524" s="89">
        <f t="shared" ref="G524:L524" si="37">SUM(G521:G523)</f>
        <v>45212.83</v>
      </c>
      <c r="H524" s="89">
        <f t="shared" si="37"/>
        <v>3320.51</v>
      </c>
      <c r="I524" s="89">
        <f t="shared" si="37"/>
        <v>1115.4899999999998</v>
      </c>
      <c r="J524" s="89">
        <f t="shared" si="37"/>
        <v>0</v>
      </c>
      <c r="K524" s="89">
        <f t="shared" si="37"/>
        <v>1798.49</v>
      </c>
      <c r="L524" s="89">
        <f t="shared" si="37"/>
        <v>193249.77000000002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4142.53</v>
      </c>
      <c r="I526" s="18"/>
      <c r="J526" s="18"/>
      <c r="K526" s="18"/>
      <c r="L526" s="88">
        <f>SUM(F526:K526)</f>
        <v>4142.53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3782.3</v>
      </c>
      <c r="I527" s="18"/>
      <c r="J527" s="18"/>
      <c r="K527" s="18"/>
      <c r="L527" s="88">
        <f>SUM(F527:K527)</f>
        <v>3782.3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3782.3</v>
      </c>
      <c r="I528" s="18"/>
      <c r="J528" s="18"/>
      <c r="K528" s="18"/>
      <c r="L528" s="88">
        <f>SUM(F528:K528)</f>
        <v>3782.3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11707.130000000001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11707.130000000001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48861.7</v>
      </c>
      <c r="I531" s="18"/>
      <c r="J531" s="18"/>
      <c r="K531" s="18"/>
      <c r="L531" s="88">
        <f>SUM(F531:K531)</f>
        <v>48861.7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33827.33</v>
      </c>
      <c r="I532" s="18"/>
      <c r="J532" s="18"/>
      <c r="K532" s="18"/>
      <c r="L532" s="88">
        <f>SUM(F532:K532)</f>
        <v>33827.33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105240.58</v>
      </c>
      <c r="I533" s="18"/>
      <c r="J533" s="18"/>
      <c r="K533" s="18"/>
      <c r="L533" s="88">
        <f>SUM(F533:K533)</f>
        <v>105240.58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187929.61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187929.61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1885342.22</v>
      </c>
      <c r="G535" s="89">
        <f t="shared" ref="G535:L535" si="40">G514+G519+G524+G529+G534</f>
        <v>517107.39</v>
      </c>
      <c r="H535" s="89">
        <f t="shared" si="40"/>
        <v>1143492.48</v>
      </c>
      <c r="I535" s="89">
        <f t="shared" si="40"/>
        <v>51990.840000000004</v>
      </c>
      <c r="J535" s="89">
        <f t="shared" si="40"/>
        <v>71543.87</v>
      </c>
      <c r="K535" s="89">
        <f t="shared" si="40"/>
        <v>17271.5</v>
      </c>
      <c r="L535" s="89">
        <f t="shared" si="40"/>
        <v>3686748.3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757948.73999999987</v>
      </c>
      <c r="G539" s="87">
        <f>L516</f>
        <v>222635.75</v>
      </c>
      <c r="H539" s="87">
        <f>L521</f>
        <v>68380.69</v>
      </c>
      <c r="I539" s="87">
        <f>L526</f>
        <v>4142.53</v>
      </c>
      <c r="J539" s="87">
        <f>L531</f>
        <v>48861.7</v>
      </c>
      <c r="K539" s="87">
        <f>SUM(F539:J539)</f>
        <v>1101969.4099999999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821872.13</v>
      </c>
      <c r="G540" s="87">
        <f>L517</f>
        <v>203276.12</v>
      </c>
      <c r="H540" s="87">
        <f>L522</f>
        <v>62434.54</v>
      </c>
      <c r="I540" s="87">
        <f>L527</f>
        <v>3782.3</v>
      </c>
      <c r="J540" s="87">
        <f>L532</f>
        <v>33827.33</v>
      </c>
      <c r="K540" s="87">
        <f>SUM(F540:J540)</f>
        <v>1125192.4200000002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1084852.93</v>
      </c>
      <c r="G541" s="87">
        <f>L518</f>
        <v>203276.12</v>
      </c>
      <c r="H541" s="87">
        <f>L523</f>
        <v>62434.54</v>
      </c>
      <c r="I541" s="87">
        <f>L528</f>
        <v>3782.3</v>
      </c>
      <c r="J541" s="87">
        <f>L533</f>
        <v>105240.58</v>
      </c>
      <c r="K541" s="87">
        <f>SUM(F541:J541)</f>
        <v>1459586.47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2664673.7999999998</v>
      </c>
      <c r="G542" s="89">
        <f t="shared" si="41"/>
        <v>629187.99</v>
      </c>
      <c r="H542" s="89">
        <f t="shared" si="41"/>
        <v>193249.77000000002</v>
      </c>
      <c r="I542" s="89">
        <f t="shared" si="41"/>
        <v>11707.130000000001</v>
      </c>
      <c r="J542" s="89">
        <f t="shared" si="41"/>
        <v>187929.61</v>
      </c>
      <c r="K542" s="89">
        <f t="shared" si="41"/>
        <v>3686748.3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4"/>
      <c r="H565" s="18">
        <v>23045</v>
      </c>
      <c r="I565" s="87">
        <f>SUM(F565:H565)</f>
        <v>23045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53571.91</v>
      </c>
      <c r="G573" s="18">
        <v>214446.74</v>
      </c>
      <c r="H573" s="18">
        <v>366774.39</v>
      </c>
      <c r="I573" s="87">
        <f t="shared" si="46"/>
        <v>634793.04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24663.59</v>
      </c>
      <c r="I574" s="87">
        <f t="shared" si="46"/>
        <v>24663.59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181400.35</v>
      </c>
      <c r="I581" s="18">
        <v>164909.42000000001</v>
      </c>
      <c r="J581" s="18">
        <v>82454.73</v>
      </c>
      <c r="K581" s="104">
        <f t="shared" ref="K581:K587" si="47">SUM(H581:J581)</f>
        <v>428764.5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48861.7</v>
      </c>
      <c r="I582" s="18">
        <v>33827.33</v>
      </c>
      <c r="J582" s="18">
        <v>105240.58</v>
      </c>
      <c r="K582" s="104">
        <f t="shared" si="47"/>
        <v>187929.61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30486.080000000002</v>
      </c>
      <c r="K583" s="104">
        <f t="shared" si="47"/>
        <v>30486.080000000002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8615.64</v>
      </c>
      <c r="J584" s="18">
        <v>53316.97</v>
      </c>
      <c r="K584" s="104">
        <f t="shared" si="47"/>
        <v>61932.61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1291.2</v>
      </c>
      <c r="I585" s="18">
        <v>2044.77</v>
      </c>
      <c r="J585" s="18">
        <v>7867.82</v>
      </c>
      <c r="K585" s="104">
        <f t="shared" si="47"/>
        <v>11203.79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231553.25</v>
      </c>
      <c r="I588" s="108">
        <f>SUM(I581:I587)</f>
        <v>209397.16</v>
      </c>
      <c r="J588" s="108">
        <f>SUM(J581:J587)</f>
        <v>279366.18</v>
      </c>
      <c r="K588" s="108">
        <f>SUM(K581:K587)</f>
        <v>720316.59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110994.49</v>
      </c>
      <c r="I594" s="18">
        <v>96549.99</v>
      </c>
      <c r="J594" s="18">
        <v>142521.57</v>
      </c>
      <c r="K594" s="104">
        <f>SUM(H594:J594)</f>
        <v>350066.05000000005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110994.49</v>
      </c>
      <c r="I595" s="108">
        <f>SUM(I592:I594)</f>
        <v>96549.99</v>
      </c>
      <c r="J595" s="108">
        <f>SUM(J592:J594)</f>
        <v>142521.57</v>
      </c>
      <c r="K595" s="108">
        <f>SUM(K592:K594)</f>
        <v>350066.05000000005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16803.61</v>
      </c>
      <c r="G601" s="18">
        <v>2175.96</v>
      </c>
      <c r="H601" s="18"/>
      <c r="I601" s="18"/>
      <c r="J601" s="18"/>
      <c r="K601" s="18"/>
      <c r="L601" s="88">
        <f>SUM(F601:K601)</f>
        <v>18979.57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16783.11</v>
      </c>
      <c r="G602" s="18">
        <v>1942.82</v>
      </c>
      <c r="H602" s="18"/>
      <c r="I602" s="18"/>
      <c r="J602" s="18"/>
      <c r="K602" s="18"/>
      <c r="L602" s="88">
        <f>SUM(F602:K602)</f>
        <v>18725.93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10957.91</v>
      </c>
      <c r="G603" s="18">
        <v>1583.28</v>
      </c>
      <c r="H603" s="18"/>
      <c r="I603" s="18"/>
      <c r="J603" s="18"/>
      <c r="K603" s="18"/>
      <c r="L603" s="88">
        <f>SUM(F603:K603)</f>
        <v>12541.19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44544.630000000005</v>
      </c>
      <c r="G604" s="108">
        <f t="shared" si="48"/>
        <v>5702.0599999999995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50246.69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1334306.57</v>
      </c>
      <c r="H607" s="109">
        <f>SUM(F44)</f>
        <v>1334306.5699999998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112880.23</v>
      </c>
      <c r="H608" s="109">
        <f>SUM(G44)</f>
        <v>112880.23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205123.07</v>
      </c>
      <c r="H609" s="109">
        <f>SUM(H44)</f>
        <v>205123.07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154419.28</v>
      </c>
      <c r="H611" s="109">
        <f>SUM(J44)</f>
        <v>154419.28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790884.12</v>
      </c>
      <c r="H612" s="109">
        <f>F466</f>
        <v>790884.12000000104</v>
      </c>
      <c r="I612" s="121" t="s">
        <v>106</v>
      </c>
      <c r="J612" s="109">
        <f t="shared" ref="J612:J645" si="49">G612-H612</f>
        <v>-1.0477378964424133E-9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106079.45</v>
      </c>
      <c r="H613" s="109">
        <f>G466</f>
        <v>106079.44999999995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154419.28</v>
      </c>
      <c r="H616" s="109">
        <f>J466</f>
        <v>154419.28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19236075.419999998</v>
      </c>
      <c r="H617" s="104">
        <f>SUM(F458)</f>
        <v>19236075.420000002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555122.54</v>
      </c>
      <c r="H618" s="104">
        <f>SUM(G458)</f>
        <v>555122.54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699722.56</v>
      </c>
      <c r="H619" s="104">
        <f>SUM(H458)</f>
        <v>699722.56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50090.400000000001</v>
      </c>
      <c r="H621" s="104">
        <f>SUM(J458)</f>
        <v>50090.400000000001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19080647.210000001</v>
      </c>
      <c r="H622" s="104">
        <f>SUM(F462)</f>
        <v>19080647.210000001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699722.56</v>
      </c>
      <c r="H623" s="104">
        <f>SUM(H462)</f>
        <v>699722.56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303572.44</v>
      </c>
      <c r="H624" s="104">
        <f>I361</f>
        <v>303572.44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558731.53</v>
      </c>
      <c r="H625" s="104">
        <f>SUM(G462)</f>
        <v>558731.53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50090.400000000001</v>
      </c>
      <c r="H627" s="164">
        <f>SUM(J458)</f>
        <v>50090.400000000001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154419.28</v>
      </c>
      <c r="H630" s="104">
        <f>SUM(G451)</f>
        <v>154419.28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154419.28</v>
      </c>
      <c r="H632" s="104">
        <f>SUM(I451)</f>
        <v>154419.28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90.4</v>
      </c>
      <c r="H634" s="104">
        <f>H400</f>
        <v>90.4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50090.400000000001</v>
      </c>
      <c r="H636" s="104">
        <f>L400</f>
        <v>50090.400000000001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720316.59</v>
      </c>
      <c r="H637" s="104">
        <f>L200+L218+L236</f>
        <v>720316.59000000008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350066.05000000005</v>
      </c>
      <c r="H638" s="104">
        <f>(J249+J330)-(J247+J328)</f>
        <v>350066.04999999993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231553.25</v>
      </c>
      <c r="H639" s="104">
        <f>H588</f>
        <v>231553.25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209397.16</v>
      </c>
      <c r="H640" s="104">
        <f>I588</f>
        <v>209397.16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279366.18</v>
      </c>
      <c r="H641" s="104">
        <f>J588</f>
        <v>279366.18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5562434.5399999991</v>
      </c>
      <c r="G650" s="19">
        <f>(L221+L301+L351)</f>
        <v>5787777.9300000016</v>
      </c>
      <c r="H650" s="19">
        <f>(L239+L320+L352)</f>
        <v>7500660.1799999997</v>
      </c>
      <c r="I650" s="19">
        <f>SUM(F650:H650)</f>
        <v>18850872.649999999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112859.32470381116</v>
      </c>
      <c r="G651" s="19">
        <f>(L351/IF(SUM(L350:L352)=0,1,SUM(L350:L352))*(SUM(G89:G102)))</f>
        <v>143781.05981425534</v>
      </c>
      <c r="H651" s="19">
        <f>(L352/IF(SUM(L350:L352)=0,1,SUM(L350:L352))*(SUM(G89:G102)))</f>
        <v>196795.33548193355</v>
      </c>
      <c r="I651" s="19">
        <f>SUM(F651:H651)</f>
        <v>453435.72000000003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231553.25</v>
      </c>
      <c r="G652" s="19">
        <f>(L218+L298)-(J218+J298)</f>
        <v>209397.16</v>
      </c>
      <c r="H652" s="19">
        <f>(L236+L317)-(J236+J317)</f>
        <v>286143.92</v>
      </c>
      <c r="I652" s="19">
        <f>SUM(F652:H652)</f>
        <v>727094.33000000007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183545.97000000003</v>
      </c>
      <c r="G653" s="200">
        <f>SUM(G565:G577)+SUM(I592:I594)+L602</f>
        <v>329722.65999999997</v>
      </c>
      <c r="H653" s="200">
        <f>SUM(H565:H577)+SUM(J592:J594)+L603</f>
        <v>569545.74</v>
      </c>
      <c r="I653" s="19">
        <f>SUM(F653:H653)</f>
        <v>1082814.3700000001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5034475.9952961877</v>
      </c>
      <c r="G654" s="19">
        <f>G650-SUM(G651:G653)</f>
        <v>5104877.0501857465</v>
      </c>
      <c r="H654" s="19">
        <f>H650-SUM(H651:H653)</f>
        <v>6448175.1845180662</v>
      </c>
      <c r="I654" s="19">
        <f>I650-SUM(I651:I653)</f>
        <v>16587528.229999999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493.28</v>
      </c>
      <c r="G655" s="249">
        <v>517.67999999999995</v>
      </c>
      <c r="H655" s="249">
        <v>531.14</v>
      </c>
      <c r="I655" s="19">
        <f>SUM(F655:H655)</f>
        <v>1542.1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10206.120000000001</v>
      </c>
      <c r="G657" s="19">
        <f>ROUND(G654/G655,2)</f>
        <v>9861.07</v>
      </c>
      <c r="H657" s="19">
        <f>ROUND(H654/H655,2)</f>
        <v>12140.26</v>
      </c>
      <c r="I657" s="19">
        <f>ROUND(I654/I655,2)</f>
        <v>10756.45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-10.46</v>
      </c>
      <c r="I660" s="19">
        <f>SUM(F660:H660)</f>
        <v>-10.46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10206.120000000001</v>
      </c>
      <c r="G662" s="19">
        <f>ROUND((G654+G659)/(G655+G660),2)</f>
        <v>9861.07</v>
      </c>
      <c r="H662" s="19">
        <f>ROUND((H654+H659)/(H655+H660),2)</f>
        <v>12384.14</v>
      </c>
      <c r="I662" s="19">
        <f>ROUND((I654+I659)/(I655+I660),2)</f>
        <v>10829.91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BD29-0760-49D9-B55B-7471953DDB48}">
  <sheetPr>
    <tabColor indexed="20"/>
  </sheetPr>
  <dimension ref="A1:C52"/>
  <sheetViews>
    <sheetView workbookViewId="0">
      <selection activeCell="B47" sqref="B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LITCHFIELD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5533786.8899999997</v>
      </c>
      <c r="C9" s="230">
        <f>'DOE25'!G189+'DOE25'!G207+'DOE25'!G225+'DOE25'!G268+'DOE25'!G287+'DOE25'!G306</f>
        <v>1789173.76</v>
      </c>
    </row>
    <row r="10" spans="1:3" x14ac:dyDescent="0.2">
      <c r="A10" t="s">
        <v>813</v>
      </c>
      <c r="B10" s="241">
        <v>5243319.01</v>
      </c>
      <c r="C10" s="241">
        <v>1765297.3</v>
      </c>
    </row>
    <row r="11" spans="1:3" x14ac:dyDescent="0.2">
      <c r="A11" t="s">
        <v>814</v>
      </c>
      <c r="B11" s="241">
        <v>92079.4</v>
      </c>
      <c r="C11" s="241">
        <v>7568.93</v>
      </c>
    </row>
    <row r="12" spans="1:3" x14ac:dyDescent="0.2">
      <c r="A12" t="s">
        <v>815</v>
      </c>
      <c r="B12" s="241">
        <v>198388.48000000001</v>
      </c>
      <c r="C12" s="241">
        <v>16307.53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5533786.8900000006</v>
      </c>
      <c r="C13" s="232">
        <f>SUM(C10:C12)</f>
        <v>1789173.76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1378512.8399999999</v>
      </c>
      <c r="C18" s="230">
        <f>'DOE25'!G190+'DOE25'!G208+'DOE25'!G226+'DOE25'!G269+'DOE25'!G288+'DOE25'!G307</f>
        <v>347659.26</v>
      </c>
    </row>
    <row r="19" spans="1:3" x14ac:dyDescent="0.2">
      <c r="A19" t="s">
        <v>813</v>
      </c>
      <c r="B19" s="241">
        <v>867036.55</v>
      </c>
      <c r="C19" s="241">
        <v>305615.90999999997</v>
      </c>
    </row>
    <row r="20" spans="1:3" x14ac:dyDescent="0.2">
      <c r="A20" t="s">
        <v>814</v>
      </c>
      <c r="B20" s="241">
        <v>511476.29</v>
      </c>
      <c r="C20" s="241">
        <v>42043.35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1378512.84</v>
      </c>
      <c r="C22" s="232">
        <f>SUM(C19:C21)</f>
        <v>347659.25999999995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>
        <v>0</v>
      </c>
      <c r="C28" s="241">
        <v>0</v>
      </c>
    </row>
    <row r="29" spans="1:3" x14ac:dyDescent="0.2">
      <c r="A29" t="s">
        <v>814</v>
      </c>
      <c r="B29" s="241">
        <v>0</v>
      </c>
      <c r="C29" s="241">
        <v>0</v>
      </c>
    </row>
    <row r="30" spans="1:3" x14ac:dyDescent="0.2">
      <c r="A30" t="s">
        <v>815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262252.79999999999</v>
      </c>
      <c r="C36" s="236">
        <f>'DOE25'!G192+'DOE25'!G210+'DOE25'!G228+'DOE25'!G271+'DOE25'!G290+'DOE25'!G309</f>
        <v>31074.14</v>
      </c>
    </row>
    <row r="37" spans="1:3" x14ac:dyDescent="0.2">
      <c r="A37" t="s">
        <v>813</v>
      </c>
      <c r="B37" s="241">
        <v>133402.54</v>
      </c>
      <c r="C37" s="241">
        <v>20957.54</v>
      </c>
    </row>
    <row r="38" spans="1:3" x14ac:dyDescent="0.2">
      <c r="A38" t="s">
        <v>814</v>
      </c>
      <c r="B38" s="241">
        <v>0</v>
      </c>
      <c r="C38" s="241">
        <v>0</v>
      </c>
    </row>
    <row r="39" spans="1:3" x14ac:dyDescent="0.2">
      <c r="A39" t="s">
        <v>815</v>
      </c>
      <c r="B39" s="241">
        <v>128850.26</v>
      </c>
      <c r="C39" s="241">
        <v>10116.6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262252.79999999999</v>
      </c>
      <c r="C40" s="232">
        <f>SUM(C37:C39)</f>
        <v>31074.14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D37D-3AC7-4AE6-91DC-34EA1D1225EC}">
  <sheetPr>
    <tabColor indexed="11"/>
  </sheetPr>
  <dimension ref="A1:I51"/>
  <sheetViews>
    <sheetView workbookViewId="0">
      <pane ySplit="4" topLeftCell="A5" activePane="bottomLeft" state="frozen"/>
      <selection pane="bottomLeft" activeCell="P18" sqref="P1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LITCHFIELD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10422759.129999999</v>
      </c>
      <c r="D5" s="20">
        <f>SUM('DOE25'!L189:L192)+SUM('DOE25'!L207:L210)+SUM('DOE25'!L225:L228)-F5-G5</f>
        <v>10318711.279999999</v>
      </c>
      <c r="E5" s="244"/>
      <c r="F5" s="256">
        <f>SUM('DOE25'!J189:J192)+SUM('DOE25'!J207:J210)+SUM('DOE25'!J225:J228)</f>
        <v>75384.95</v>
      </c>
      <c r="G5" s="53">
        <f>SUM('DOE25'!K189:K192)+SUM('DOE25'!K207:K210)+SUM('DOE25'!K225:K228)</f>
        <v>28662.9</v>
      </c>
      <c r="H5" s="260"/>
    </row>
    <row r="6" spans="1:9" x14ac:dyDescent="0.2">
      <c r="A6" s="32">
        <v>2100</v>
      </c>
      <c r="B6" t="s">
        <v>835</v>
      </c>
      <c r="C6" s="246">
        <f t="shared" si="0"/>
        <v>1445498.8800000001</v>
      </c>
      <c r="D6" s="20">
        <f>'DOE25'!L194+'DOE25'!L212+'DOE25'!L230-F6-G6</f>
        <v>1437446.04</v>
      </c>
      <c r="E6" s="244"/>
      <c r="F6" s="256">
        <f>'DOE25'!J194+'DOE25'!J212+'DOE25'!J230</f>
        <v>7707.84</v>
      </c>
      <c r="G6" s="53">
        <f>'DOE25'!K194+'DOE25'!K212+'DOE25'!K230</f>
        <v>345</v>
      </c>
      <c r="H6" s="260"/>
    </row>
    <row r="7" spans="1:9" x14ac:dyDescent="0.2">
      <c r="A7" s="32">
        <v>2200</v>
      </c>
      <c r="B7" t="s">
        <v>868</v>
      </c>
      <c r="C7" s="246">
        <f t="shared" si="0"/>
        <v>577404.12999999989</v>
      </c>
      <c r="D7" s="20">
        <f>'DOE25'!L195+'DOE25'!L213+'DOE25'!L231-F7-G7</f>
        <v>510412.25999999989</v>
      </c>
      <c r="E7" s="244"/>
      <c r="F7" s="256">
        <f>'DOE25'!J195+'DOE25'!J213+'DOE25'!J231</f>
        <v>60898.869999999995</v>
      </c>
      <c r="G7" s="53">
        <f>'DOE25'!K195+'DOE25'!K213+'DOE25'!K231</f>
        <v>6093</v>
      </c>
      <c r="H7" s="260"/>
    </row>
    <row r="8" spans="1:9" x14ac:dyDescent="0.2">
      <c r="A8" s="32">
        <v>2300</v>
      </c>
      <c r="B8" t="s">
        <v>836</v>
      </c>
      <c r="C8" s="246">
        <f t="shared" si="0"/>
        <v>193249.76999999996</v>
      </c>
      <c r="D8" s="244"/>
      <c r="E8" s="20">
        <f>'DOE25'!L196+'DOE25'!L214+'DOE25'!L232-F8-G8-D9-D11</f>
        <v>178361.87999999995</v>
      </c>
      <c r="F8" s="256">
        <f>'DOE25'!J196+'DOE25'!J214+'DOE25'!J232</f>
        <v>1684.98</v>
      </c>
      <c r="G8" s="53">
        <f>'DOE25'!K196+'DOE25'!K214+'DOE25'!K232</f>
        <v>13202.91</v>
      </c>
      <c r="H8" s="260"/>
    </row>
    <row r="9" spans="1:9" x14ac:dyDescent="0.2">
      <c r="A9" s="32">
        <v>2310</v>
      </c>
      <c r="B9" t="s">
        <v>852</v>
      </c>
      <c r="C9" s="246">
        <f t="shared" si="0"/>
        <v>118074.58</v>
      </c>
      <c r="D9" s="245">
        <v>118074.58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14956</v>
      </c>
      <c r="D10" s="244"/>
      <c r="E10" s="245">
        <v>14956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268458.36</v>
      </c>
      <c r="D11" s="245">
        <v>268458.36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1163051.47</v>
      </c>
      <c r="D12" s="20">
        <f>'DOE25'!L197+'DOE25'!L215+'DOE25'!L233-F12-G12</f>
        <v>1136724.07</v>
      </c>
      <c r="E12" s="244"/>
      <c r="F12" s="256">
        <f>'DOE25'!J197+'DOE25'!J215+'DOE25'!J233</f>
        <v>2735.97</v>
      </c>
      <c r="G12" s="53">
        <f>'DOE25'!K197+'DOE25'!K215+'DOE25'!K233</f>
        <v>23591.43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304455.2</v>
      </c>
      <c r="D13" s="244"/>
      <c r="E13" s="20">
        <f>'DOE25'!L198+'DOE25'!L216+'DOE25'!L234-F13-G13</f>
        <v>302516.86</v>
      </c>
      <c r="F13" s="256">
        <f>'DOE25'!J198+'DOE25'!J216+'DOE25'!J234</f>
        <v>0</v>
      </c>
      <c r="G13" s="53">
        <f>'DOE25'!K198+'DOE25'!K216+'DOE25'!K234</f>
        <v>1938.3400000000001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1887732.3199999998</v>
      </c>
      <c r="D14" s="20">
        <f>'DOE25'!L199+'DOE25'!L217+'DOE25'!L235-F14-G14</f>
        <v>1870304.65</v>
      </c>
      <c r="E14" s="244"/>
      <c r="F14" s="256">
        <f>'DOE25'!J199+'DOE25'!J217+'DOE25'!J235</f>
        <v>17419.669999999998</v>
      </c>
      <c r="G14" s="53">
        <f>'DOE25'!K199+'DOE25'!K217+'DOE25'!K235</f>
        <v>8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720316.59000000008</v>
      </c>
      <c r="D15" s="20">
        <f>'DOE25'!L200+'DOE25'!L218+'DOE25'!L236-F15-G15</f>
        <v>720316.59000000008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502438.13</v>
      </c>
      <c r="D16" s="244"/>
      <c r="E16" s="20">
        <f>'DOE25'!L201+'DOE25'!L219+'DOE25'!L237-F16-G16</f>
        <v>386770.68</v>
      </c>
      <c r="F16" s="256">
        <f>'DOE25'!J201+'DOE25'!J219+'DOE25'!J237</f>
        <v>113927.31</v>
      </c>
      <c r="G16" s="53">
        <f>'DOE25'!K201+'DOE25'!K219+'DOE25'!K237</f>
        <v>1740.1399999999999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17143.96</v>
      </c>
      <c r="D17" s="20">
        <f>'DOE25'!L243-F17-G17</f>
        <v>17143.96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349530.38999999996</v>
      </c>
      <c r="D22" s="244"/>
      <c r="E22" s="244"/>
      <c r="F22" s="256">
        <f>'DOE25'!L247+'DOE25'!L328</f>
        <v>349530.38999999996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1035462.45</v>
      </c>
      <c r="D25" s="244"/>
      <c r="E25" s="244"/>
      <c r="F25" s="259"/>
      <c r="G25" s="257"/>
      <c r="H25" s="258">
        <f>'DOE25'!L252+'DOE25'!L253+'DOE25'!L333+'DOE25'!L334</f>
        <v>1035462.45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269494.09000000003</v>
      </c>
      <c r="D29" s="20">
        <f>'DOE25'!L350+'DOE25'!L351+'DOE25'!L352-'DOE25'!I359-F29-G29</f>
        <v>263222.45</v>
      </c>
      <c r="E29" s="244"/>
      <c r="F29" s="256">
        <f>'DOE25'!J350+'DOE25'!J351+'DOE25'!J352</f>
        <v>4217.1400000000003</v>
      </c>
      <c r="G29" s="53">
        <f>'DOE25'!K350+'DOE25'!K351+'DOE25'!K352</f>
        <v>2054.5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688702.56</v>
      </c>
      <c r="D31" s="20">
        <f>'DOE25'!L282+'DOE25'!L301+'DOE25'!L320+'DOE25'!L325+'DOE25'!L326+'DOE25'!L327-F31-G31</f>
        <v>615367.9800000001</v>
      </c>
      <c r="E31" s="244"/>
      <c r="F31" s="256">
        <f>'DOE25'!J282+'DOE25'!J301+'DOE25'!J320+'DOE25'!J325+'DOE25'!J326+'DOE25'!J327</f>
        <v>70306.459999999992</v>
      </c>
      <c r="G31" s="53">
        <f>'DOE25'!K282+'DOE25'!K301+'DOE25'!K320+'DOE25'!K325+'DOE25'!K326+'DOE25'!K327</f>
        <v>3028.12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17276182.219999999</v>
      </c>
      <c r="E33" s="247">
        <f>SUM(E5:E31)</f>
        <v>882605.41999999993</v>
      </c>
      <c r="F33" s="247">
        <f>SUM(F5:F31)</f>
        <v>703813.58</v>
      </c>
      <c r="G33" s="247">
        <f>SUM(G5:G31)</f>
        <v>80664.339999999982</v>
      </c>
      <c r="H33" s="247">
        <f>SUM(H5:H31)</f>
        <v>1035462.45</v>
      </c>
    </row>
    <row r="35" spans="2:8" ht="12" thickBot="1" x14ac:dyDescent="0.25">
      <c r="B35" s="254" t="s">
        <v>881</v>
      </c>
      <c r="D35" s="255">
        <f>E33</f>
        <v>882605.41999999993</v>
      </c>
      <c r="E35" s="250"/>
    </row>
    <row r="36" spans="2:8" ht="12" thickTop="1" x14ac:dyDescent="0.2">
      <c r="B36" t="s">
        <v>849</v>
      </c>
      <c r="D36" s="20">
        <f>D33</f>
        <v>17276182.219999999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2394-1252-4A99-86B7-E678CB76E0AD}">
  <sheetPr transitionEvaluation="1" codeName="Sheet2">
    <tabColor indexed="10"/>
  </sheetPr>
  <dimension ref="A1:I156"/>
  <sheetViews>
    <sheetView zoomScaleNormal="100" workbookViewId="0">
      <pane ySplit="2" topLeftCell="A14" activePane="bottomLeft" state="frozen"/>
      <selection pane="bottomLeft" activeCell="A63" sqref="A6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LITCHFIELD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1115291.68</v>
      </c>
      <c r="D9" s="95">
        <f>'DOE25'!G9</f>
        <v>107402.76</v>
      </c>
      <c r="E9" s="95">
        <f>'DOE25'!H9</f>
        <v>0</v>
      </c>
      <c r="F9" s="95">
        <f>'DOE25'!I9</f>
        <v>0</v>
      </c>
      <c r="G9" s="95">
        <f>'DOE25'!J9</f>
        <v>154419.28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204245.88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4960.7700000000004</v>
      </c>
      <c r="E13" s="95">
        <f>'DOE25'!H13</f>
        <v>203902.07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14769.01</v>
      </c>
      <c r="D14" s="95">
        <f>'DOE25'!G14</f>
        <v>516.70000000000005</v>
      </c>
      <c r="E14" s="95">
        <f>'DOE25'!H14</f>
        <v>1221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1334306.57</v>
      </c>
      <c r="D19" s="41">
        <f>SUM(D9:D18)</f>
        <v>112880.23</v>
      </c>
      <c r="E19" s="41">
        <f>SUM(E9:E18)</f>
        <v>205123.07</v>
      </c>
      <c r="F19" s="41">
        <f>SUM(F9:F18)</f>
        <v>0</v>
      </c>
      <c r="G19" s="41">
        <f>SUM(G9:G18)</f>
        <v>154419.28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204245.88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21908.69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27749.84</v>
      </c>
      <c r="D28" s="95">
        <f>'DOE25'!G29</f>
        <v>270.16000000000003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492038.92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1725</v>
      </c>
      <c r="D30" s="95">
        <f>'DOE25'!G31</f>
        <v>6530.62</v>
      </c>
      <c r="E30" s="95">
        <f>'DOE25'!H31</f>
        <v>877.19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543422.44999999995</v>
      </c>
      <c r="D32" s="41">
        <f>SUM(D22:D31)</f>
        <v>6800.78</v>
      </c>
      <c r="E32" s="41">
        <f>SUM(E22:E31)</f>
        <v>205123.07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420319.58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106079.45</v>
      </c>
      <c r="E40" s="95">
        <f>'DOE25'!H41</f>
        <v>0</v>
      </c>
      <c r="F40" s="95">
        <f>'DOE25'!I41</f>
        <v>0</v>
      </c>
      <c r="G40" s="95">
        <f>'DOE25'!J41</f>
        <v>154419.28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370564.54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790884.12</v>
      </c>
      <c r="D42" s="41">
        <f>SUM(D34:D41)</f>
        <v>106079.45</v>
      </c>
      <c r="E42" s="41">
        <f>SUM(E34:E41)</f>
        <v>0</v>
      </c>
      <c r="F42" s="41">
        <f>SUM(F34:F41)</f>
        <v>0</v>
      </c>
      <c r="G42" s="41">
        <f>SUM(G34:G41)</f>
        <v>154419.28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1334306.5699999998</v>
      </c>
      <c r="D43" s="41">
        <f>D42+D32</f>
        <v>112880.23</v>
      </c>
      <c r="E43" s="41">
        <f>E42+E32</f>
        <v>205123.07</v>
      </c>
      <c r="F43" s="41">
        <f>F42+F32</f>
        <v>0</v>
      </c>
      <c r="G43" s="41">
        <f>G42+G32</f>
        <v>154419.28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10217075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79079.34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9168.9500000000007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9676.4599999999991</v>
      </c>
      <c r="D51" s="95">
        <f>'DOE25'!G88</f>
        <v>234.64</v>
      </c>
      <c r="E51" s="95">
        <f>'DOE25'!H88</f>
        <v>0</v>
      </c>
      <c r="F51" s="95">
        <f>'DOE25'!I88</f>
        <v>0</v>
      </c>
      <c r="G51" s="95">
        <f>'DOE25'!J88</f>
        <v>90.4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428654.84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78942.36</v>
      </c>
      <c r="D53" s="95">
        <f>SUM('DOE25'!G90:G102)</f>
        <v>24780.880000000001</v>
      </c>
      <c r="E53" s="95">
        <f>SUM('DOE25'!H90:H102)</f>
        <v>16734.150000000001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176867.11</v>
      </c>
      <c r="D54" s="130">
        <f>SUM(D49:D53)</f>
        <v>453670.36000000004</v>
      </c>
      <c r="E54" s="130">
        <f>SUM(E49:E53)</f>
        <v>16734.150000000001</v>
      </c>
      <c r="F54" s="130">
        <f>SUM(F49:F53)</f>
        <v>0</v>
      </c>
      <c r="G54" s="130">
        <f>SUM(G49:G53)</f>
        <v>90.4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10393942.109999999</v>
      </c>
      <c r="D55" s="22">
        <f>D48+D54</f>
        <v>453670.36000000004</v>
      </c>
      <c r="E55" s="22">
        <f>E48+E54</f>
        <v>16734.150000000001</v>
      </c>
      <c r="F55" s="22">
        <f>F48+F54</f>
        <v>0</v>
      </c>
      <c r="G55" s="22">
        <f>G48+G54</f>
        <v>90.4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4426754.25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1830345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1698408.75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7955508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270050.24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212109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103500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137512.75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2544.8000000000002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5072.08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725716.79</v>
      </c>
      <c r="D70" s="130">
        <f>SUM(D64:D69)</f>
        <v>5072.08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8681224.7899999991</v>
      </c>
      <c r="D73" s="130">
        <f>SUM(D71:D72)+D70+D62</f>
        <v>5072.08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435561.78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160908.51999999999</v>
      </c>
      <c r="D80" s="95">
        <f>SUM('DOE25'!G145:G153)</f>
        <v>96380.1</v>
      </c>
      <c r="E80" s="95">
        <f>SUM('DOE25'!H145:H153)</f>
        <v>247426.63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160908.51999999999</v>
      </c>
      <c r="D83" s="131">
        <f>SUM(D77:D82)</f>
        <v>96380.1</v>
      </c>
      <c r="E83" s="131">
        <f>SUM(E77:E82)</f>
        <v>682988.41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797</v>
      </c>
      <c r="C96" s="86">
        <f>C55+C73+C83+C95</f>
        <v>19236075.419999998</v>
      </c>
      <c r="D96" s="86">
        <f>D55+D73+D83+D95</f>
        <v>555122.54</v>
      </c>
      <c r="E96" s="86">
        <f>E55+E73+E83+E95</f>
        <v>699722.56</v>
      </c>
      <c r="F96" s="86">
        <f>F55+F73+F83+F95</f>
        <v>0</v>
      </c>
      <c r="G96" s="86">
        <f>G55+G73+G95</f>
        <v>50090.400000000001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7623817.6699999999</v>
      </c>
      <c r="D101" s="24" t="s">
        <v>312</v>
      </c>
      <c r="E101" s="95">
        <f>('DOE25'!L268)+('DOE25'!L287)+('DOE25'!L306)</f>
        <v>209466.22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2350662.44</v>
      </c>
      <c r="D102" s="24" t="s">
        <v>312</v>
      </c>
      <c r="E102" s="95">
        <f>('DOE25'!L269)+('DOE25'!L288)+('DOE25'!L307)</f>
        <v>325718.49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24663.59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423615.43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36091.85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17143.96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10475994.939999999</v>
      </c>
      <c r="D107" s="86">
        <f>SUM(D101:D106)</f>
        <v>0</v>
      </c>
      <c r="E107" s="86">
        <f>SUM(E101:E106)</f>
        <v>535184.71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1445498.8800000001</v>
      </c>
      <c r="D110" s="24" t="s">
        <v>312</v>
      </c>
      <c r="E110" s="95">
        <f>+('DOE25'!L273)+('DOE25'!L292)+('DOE25'!L311)</f>
        <v>146240.10999999999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577404.12999999989</v>
      </c>
      <c r="D111" s="24" t="s">
        <v>312</v>
      </c>
      <c r="E111" s="95">
        <f>+('DOE25'!L274)+('DOE25'!L293)+('DOE25'!L312)</f>
        <v>500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579782.71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1163051.47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304455.2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1887732.3199999998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720316.59000000008</v>
      </c>
      <c r="D116" s="24" t="s">
        <v>312</v>
      </c>
      <c r="E116" s="95">
        <f>+('DOE25'!L279)+('DOE25'!L298)+('DOE25'!L317)</f>
        <v>6777.74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502438.13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558731.53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7180679.4299999988</v>
      </c>
      <c r="D120" s="86">
        <f>SUM(D110:D119)</f>
        <v>558731.53</v>
      </c>
      <c r="E120" s="86">
        <f>SUM(E110:E119)</f>
        <v>153517.84999999998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338510.38999999996</v>
      </c>
      <c r="D122" s="24" t="s">
        <v>312</v>
      </c>
      <c r="E122" s="129">
        <f>'DOE25'!L328</f>
        <v>11020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800000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235462.45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50090.400000000001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-90.400000000001455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1423972.8399999999</v>
      </c>
      <c r="D136" s="141">
        <f>SUM(D122:D135)</f>
        <v>0</v>
      </c>
      <c r="E136" s="141">
        <f>SUM(E122:E135)</f>
        <v>11020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19080647.209999997</v>
      </c>
      <c r="D137" s="86">
        <f>(D107+D120+D136)</f>
        <v>558731.53</v>
      </c>
      <c r="E137" s="86">
        <f>(E107+E120+E136)</f>
        <v>699722.55999999994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08/2000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02/2015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11685000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5.14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4485000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4485000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800000</v>
      </c>
    </row>
    <row r="151" spans="1:7" x14ac:dyDescent="0.2">
      <c r="A151" s="22" t="s">
        <v>35</v>
      </c>
      <c r="B151" s="137">
        <f>'DOE25'!F488</f>
        <v>3685000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3685000</v>
      </c>
    </row>
    <row r="152" spans="1:7" x14ac:dyDescent="0.2">
      <c r="A152" s="22" t="s">
        <v>36</v>
      </c>
      <c r="B152" s="137">
        <f>'DOE25'!F489</f>
        <v>547312.5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547312.5</v>
      </c>
    </row>
    <row r="153" spans="1:7" x14ac:dyDescent="0.2">
      <c r="A153" s="22" t="s">
        <v>37</v>
      </c>
      <c r="B153" s="137">
        <f>'DOE25'!F490</f>
        <v>4232312.5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4232312.5</v>
      </c>
    </row>
    <row r="154" spans="1:7" x14ac:dyDescent="0.2">
      <c r="A154" s="22" t="s">
        <v>38</v>
      </c>
      <c r="B154" s="137">
        <f>'DOE25'!F491</f>
        <v>800000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800000</v>
      </c>
    </row>
    <row r="155" spans="1:7" x14ac:dyDescent="0.2">
      <c r="A155" s="22" t="s">
        <v>39</v>
      </c>
      <c r="B155" s="137">
        <f>'DOE25'!F492</f>
        <v>193462.5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193462.5</v>
      </c>
    </row>
    <row r="156" spans="1:7" x14ac:dyDescent="0.2">
      <c r="A156" s="22" t="s">
        <v>269</v>
      </c>
      <c r="B156" s="137">
        <f>'DOE25'!F493</f>
        <v>993462.5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993462.5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90C-0DB2-45B9-B736-04E5C4CE9BDF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LITCHFIELD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10206</v>
      </c>
    </row>
    <row r="5" spans="1:4" x14ac:dyDescent="0.2">
      <c r="B5" t="s">
        <v>735</v>
      </c>
      <c r="C5" s="179">
        <f>IF('DOE25'!G655+'DOE25'!G660=0,0,ROUND('DOE25'!G662,0))</f>
        <v>9861</v>
      </c>
    </row>
    <row r="6" spans="1:4" x14ac:dyDescent="0.2">
      <c r="B6" t="s">
        <v>62</v>
      </c>
      <c r="C6" s="179">
        <f>IF('DOE25'!H655+'DOE25'!H660=0,0,ROUND('DOE25'!H662,0))</f>
        <v>12384</v>
      </c>
    </row>
    <row r="7" spans="1:4" x14ac:dyDescent="0.2">
      <c r="B7" t="s">
        <v>736</v>
      </c>
      <c r="C7" s="179">
        <f>IF('DOE25'!I655+'DOE25'!I660=0,0,ROUND('DOE25'!I662,0))</f>
        <v>10830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7833284</v>
      </c>
      <c r="D10" s="182">
        <f>ROUND((C10/$C$28)*100,1)</f>
        <v>41.9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2676381</v>
      </c>
      <c r="D11" s="182">
        <f>ROUND((C11/$C$28)*100,1)</f>
        <v>14.3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24664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423615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1591739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577904</v>
      </c>
      <c r="D16" s="182">
        <f t="shared" si="0"/>
        <v>3.1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1082221</v>
      </c>
      <c r="D17" s="182">
        <f t="shared" si="0"/>
        <v>5.8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1163051</v>
      </c>
      <c r="D18" s="182">
        <f t="shared" si="0"/>
        <v>6.2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304455</v>
      </c>
      <c r="D19" s="182">
        <f t="shared" si="0"/>
        <v>1.6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1887732</v>
      </c>
      <c r="D20" s="182">
        <f t="shared" si="0"/>
        <v>10.1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727094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36092</v>
      </c>
      <c r="D23" s="182">
        <f t="shared" si="0"/>
        <v>0.2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17144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235462</v>
      </c>
      <c r="D25" s="182">
        <f t="shared" si="0"/>
        <v>1.3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105296.27999999997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18686134.280000001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349530</v>
      </c>
    </row>
    <row r="30" spans="1:4" x14ac:dyDescent="0.2">
      <c r="B30" s="187" t="s">
        <v>760</v>
      </c>
      <c r="C30" s="180">
        <f>SUM(C28:C29)</f>
        <v>19035664.280000001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800000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10217075</v>
      </c>
      <c r="D35" s="182">
        <f t="shared" ref="D35:D40" si="1">ROUND((C35/$C$41)*100,1)</f>
        <v>51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193926.29999999888</v>
      </c>
      <c r="D36" s="182">
        <f t="shared" si="1"/>
        <v>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6257099</v>
      </c>
      <c r="D37" s="182">
        <f t="shared" si="1"/>
        <v>31.2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2429198</v>
      </c>
      <c r="D38" s="182">
        <f t="shared" si="1"/>
        <v>12.1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940277</v>
      </c>
      <c r="D39" s="182">
        <f t="shared" si="1"/>
        <v>4.7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20037575.299999997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7812-C2B6-4787-92AD-4C44CE56D61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LITCHFIELD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2010-09-08T14:10:18Z</cp:lastPrinted>
  <dcterms:created xsi:type="dcterms:W3CDTF">1997-12-04T19:04:30Z</dcterms:created>
  <dcterms:modified xsi:type="dcterms:W3CDTF">2025-01-02T14:51:05Z</dcterms:modified>
</cp:coreProperties>
</file>