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64697C4-64E2-4E56-9FCF-F13C77F7A9F0}" xr6:coauthVersionLast="47" xr6:coauthVersionMax="47" xr10:uidLastSave="{00000000-0000-0000-0000-000000000000}"/>
  <workbookProtection workbookPassword="B70A" lockStructure="1"/>
  <bookViews>
    <workbookView xWindow="1950" yWindow="1950" windowWidth="21600" windowHeight="11505" xr2:uid="{2D86F17F-9A66-4B1A-A2A3-295C83C646E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3" l="1"/>
  <c r="D9" i="13"/>
  <c r="F455" i="1"/>
  <c r="M6" i="11"/>
  <c r="L6" i="11"/>
  <c r="K6" i="11"/>
  <c r="J6" i="11"/>
  <c r="I6" i="11"/>
  <c r="H6" i="11"/>
  <c r="G6" i="11"/>
  <c r="F6" i="11"/>
  <c r="E6" i="11"/>
  <c r="D6" i="11"/>
  <c r="B12" i="12"/>
  <c r="B10" i="12"/>
  <c r="B13" i="12" s="1"/>
  <c r="A13" i="12" s="1"/>
  <c r="K258" i="1"/>
  <c r="H645" i="1" s="1"/>
  <c r="J52" i="1"/>
  <c r="J104" i="1" s="1"/>
  <c r="J185" i="1" s="1"/>
  <c r="J103" i="1"/>
  <c r="J113" i="1"/>
  <c r="J128" i="1"/>
  <c r="J132" i="1"/>
  <c r="J175" i="1"/>
  <c r="J184" i="1" s="1"/>
  <c r="I52" i="1"/>
  <c r="I104" i="1" s="1"/>
  <c r="I103" i="1"/>
  <c r="I113" i="1"/>
  <c r="I132" i="1" s="1"/>
  <c r="I128" i="1"/>
  <c r="I139" i="1"/>
  <c r="I154" i="1"/>
  <c r="I161" i="1" s="1"/>
  <c r="I169" i="1"/>
  <c r="I175" i="1"/>
  <c r="I180" i="1"/>
  <c r="I184" i="1"/>
  <c r="H52" i="1"/>
  <c r="H71" i="1"/>
  <c r="H86" i="1"/>
  <c r="H103" i="1"/>
  <c r="H104" i="1"/>
  <c r="H113" i="1"/>
  <c r="H132" i="1" s="1"/>
  <c r="H128" i="1"/>
  <c r="H139" i="1"/>
  <c r="H154" i="1"/>
  <c r="H161" i="1" s="1"/>
  <c r="H175" i="1"/>
  <c r="H184" i="1" s="1"/>
  <c r="H180" i="1"/>
  <c r="G52" i="1"/>
  <c r="G104" i="1" s="1"/>
  <c r="G185" i="1" s="1"/>
  <c r="G103" i="1"/>
  <c r="G113" i="1"/>
  <c r="G128" i="1"/>
  <c r="G132" i="1"/>
  <c r="G139" i="1"/>
  <c r="G161" i="1" s="1"/>
  <c r="G154" i="1"/>
  <c r="G175" i="1"/>
  <c r="G180" i="1"/>
  <c r="G184" i="1"/>
  <c r="F52" i="1"/>
  <c r="F71" i="1"/>
  <c r="F86" i="1"/>
  <c r="F103" i="1"/>
  <c r="F104" i="1" s="1"/>
  <c r="F113" i="1"/>
  <c r="F132" i="1" s="1"/>
  <c r="F128" i="1"/>
  <c r="F139" i="1"/>
  <c r="F154" i="1"/>
  <c r="F161" i="1"/>
  <c r="F169" i="1"/>
  <c r="F184" i="1" s="1"/>
  <c r="F175" i="1"/>
  <c r="F180" i="1"/>
  <c r="L366" i="1"/>
  <c r="L374" i="1" s="1"/>
  <c r="L367" i="1"/>
  <c r="L368" i="1"/>
  <c r="L369" i="1"/>
  <c r="L370" i="1"/>
  <c r="L371" i="1"/>
  <c r="F122" i="2" s="1"/>
  <c r="F136" i="2" s="1"/>
  <c r="F137" i="2" s="1"/>
  <c r="L372" i="1"/>
  <c r="L373" i="1"/>
  <c r="G438" i="1"/>
  <c r="G630" i="1" s="1"/>
  <c r="J630" i="1" s="1"/>
  <c r="L189" i="1"/>
  <c r="C10" i="10" s="1"/>
  <c r="L190" i="1"/>
  <c r="L191" i="1"/>
  <c r="C103" i="2" s="1"/>
  <c r="L192" i="1"/>
  <c r="L194" i="1"/>
  <c r="L195" i="1"/>
  <c r="L196" i="1"/>
  <c r="C112" i="2" s="1"/>
  <c r="L197" i="1"/>
  <c r="D12" i="13" s="1"/>
  <c r="C12" i="13" s="1"/>
  <c r="L198" i="1"/>
  <c r="L199" i="1"/>
  <c r="L200" i="1"/>
  <c r="G639" i="1" s="1"/>
  <c r="L201" i="1"/>
  <c r="C117" i="2" s="1"/>
  <c r="L207" i="1"/>
  <c r="L208" i="1"/>
  <c r="L221" i="1" s="1"/>
  <c r="L209" i="1"/>
  <c r="L210" i="1"/>
  <c r="L212" i="1"/>
  <c r="L213" i="1"/>
  <c r="D7" i="13" s="1"/>
  <c r="C7" i="13" s="1"/>
  <c r="L214" i="1"/>
  <c r="L215" i="1"/>
  <c r="L216" i="1"/>
  <c r="L217" i="1"/>
  <c r="C115" i="2" s="1"/>
  <c r="L218" i="1"/>
  <c r="L219" i="1"/>
  <c r="L225" i="1"/>
  <c r="L226" i="1"/>
  <c r="L227" i="1"/>
  <c r="L228" i="1"/>
  <c r="L230" i="1"/>
  <c r="C15" i="10" s="1"/>
  <c r="L231" i="1"/>
  <c r="L232" i="1"/>
  <c r="L233" i="1"/>
  <c r="L234" i="1"/>
  <c r="C19" i="10" s="1"/>
  <c r="L235" i="1"/>
  <c r="L236" i="1"/>
  <c r="L237" i="1"/>
  <c r="F248" i="1"/>
  <c r="G248" i="1"/>
  <c r="H248" i="1"/>
  <c r="I248" i="1"/>
  <c r="L248" i="1" s="1"/>
  <c r="J248" i="1"/>
  <c r="K248" i="1"/>
  <c r="F262" i="1"/>
  <c r="G262" i="1"/>
  <c r="H262" i="1"/>
  <c r="I262" i="1"/>
  <c r="J262" i="1"/>
  <c r="I19" i="1"/>
  <c r="I33" i="1"/>
  <c r="L392" i="1"/>
  <c r="L387" i="1"/>
  <c r="L393" i="1" s="1"/>
  <c r="C131" i="2" s="1"/>
  <c r="L388" i="1"/>
  <c r="L389" i="1"/>
  <c r="L390" i="1"/>
  <c r="L391" i="1"/>
  <c r="L379" i="1"/>
  <c r="L380" i="1"/>
  <c r="L385" i="1" s="1"/>
  <c r="L381" i="1"/>
  <c r="L382" i="1"/>
  <c r="L383" i="1"/>
  <c r="L384" i="1"/>
  <c r="L395" i="1"/>
  <c r="L399" i="1" s="1"/>
  <c r="C132" i="2" s="1"/>
  <c r="L396" i="1"/>
  <c r="L397" i="1"/>
  <c r="L398" i="1"/>
  <c r="L268" i="1"/>
  <c r="E101" i="2" s="1"/>
  <c r="L269" i="1"/>
  <c r="C11" i="10" s="1"/>
  <c r="L270" i="1"/>
  <c r="L271" i="1"/>
  <c r="L273" i="1"/>
  <c r="L274" i="1"/>
  <c r="E111" i="2" s="1"/>
  <c r="L275" i="1"/>
  <c r="L276" i="1"/>
  <c r="L277" i="1"/>
  <c r="E114" i="2" s="1"/>
  <c r="L278" i="1"/>
  <c r="L279" i="1"/>
  <c r="L280" i="1"/>
  <c r="L282" i="1"/>
  <c r="L287" i="1"/>
  <c r="L288" i="1"/>
  <c r="L289" i="1"/>
  <c r="L290" i="1"/>
  <c r="E104" i="2" s="1"/>
  <c r="L292" i="1"/>
  <c r="L293" i="1"/>
  <c r="L294" i="1"/>
  <c r="L295" i="1"/>
  <c r="E113" i="2" s="1"/>
  <c r="L296" i="1"/>
  <c r="L297" i="1"/>
  <c r="L298" i="1"/>
  <c r="L299" i="1"/>
  <c r="E117" i="2" s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F329" i="1"/>
  <c r="L329" i="1" s="1"/>
  <c r="G329" i="1"/>
  <c r="H329" i="1"/>
  <c r="I329" i="1"/>
  <c r="J329" i="1"/>
  <c r="K329" i="1"/>
  <c r="L333" i="1"/>
  <c r="L334" i="1"/>
  <c r="L343" i="1" s="1"/>
  <c r="L336" i="1"/>
  <c r="E126" i="2" s="1"/>
  <c r="L337" i="1"/>
  <c r="L338" i="1"/>
  <c r="L339" i="1"/>
  <c r="L341" i="1"/>
  <c r="L342" i="1"/>
  <c r="L350" i="1"/>
  <c r="L351" i="1"/>
  <c r="L354" i="1" s="1"/>
  <c r="L352" i="1"/>
  <c r="D29" i="13" s="1"/>
  <c r="C29" i="13" s="1"/>
  <c r="L353" i="1"/>
  <c r="C60" i="2"/>
  <c r="B2" i="13"/>
  <c r="F8" i="13"/>
  <c r="G8" i="13"/>
  <c r="D39" i="13"/>
  <c r="F13" i="13"/>
  <c r="G13" i="13"/>
  <c r="E13" i="13"/>
  <c r="C13" i="13" s="1"/>
  <c r="F16" i="13"/>
  <c r="G16" i="13"/>
  <c r="F5" i="13"/>
  <c r="G5" i="13"/>
  <c r="F6" i="13"/>
  <c r="G6" i="13"/>
  <c r="F7" i="13"/>
  <c r="G7" i="13"/>
  <c r="F12" i="13"/>
  <c r="G12" i="13"/>
  <c r="F14" i="13"/>
  <c r="D14" i="13" s="1"/>
  <c r="C14" i="13" s="1"/>
  <c r="G14" i="13"/>
  <c r="F15" i="13"/>
  <c r="G15" i="13"/>
  <c r="F17" i="13"/>
  <c r="D17" i="13" s="1"/>
  <c r="C17" i="13" s="1"/>
  <c r="G17" i="13"/>
  <c r="L243" i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I359" i="1"/>
  <c r="J282" i="1"/>
  <c r="J330" i="1" s="1"/>
  <c r="J344" i="1" s="1"/>
  <c r="J301" i="1"/>
  <c r="J320" i="1"/>
  <c r="K282" i="1"/>
  <c r="G31" i="13" s="1"/>
  <c r="K301" i="1"/>
  <c r="K320" i="1"/>
  <c r="L325" i="1"/>
  <c r="C24" i="10" s="1"/>
  <c r="L326" i="1"/>
  <c r="L327" i="1"/>
  <c r="L252" i="1"/>
  <c r="C123" i="2" s="1"/>
  <c r="L253" i="1"/>
  <c r="C124" i="2" s="1"/>
  <c r="L247" i="1"/>
  <c r="L328" i="1"/>
  <c r="E122" i="2" s="1"/>
  <c r="C11" i="13"/>
  <c r="C10" i="13"/>
  <c r="C9" i="13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C9" i="12"/>
  <c r="C13" i="12"/>
  <c r="B18" i="12"/>
  <c r="B22" i="12"/>
  <c r="C18" i="12"/>
  <c r="C22" i="12"/>
  <c r="A22" i="12"/>
  <c r="B1" i="12"/>
  <c r="G48" i="2"/>
  <c r="G55" i="2" s="1"/>
  <c r="G51" i="2"/>
  <c r="G53" i="2"/>
  <c r="G54" i="2"/>
  <c r="F2" i="11"/>
  <c r="L603" i="1"/>
  <c r="H653" i="1"/>
  <c r="L602" i="1"/>
  <c r="G653" i="1" s="1"/>
  <c r="L601" i="1"/>
  <c r="F653" i="1"/>
  <c r="I653" i="1" s="1"/>
  <c r="C40" i="10"/>
  <c r="C37" i="10"/>
  <c r="C12" i="10"/>
  <c r="C13" i="10"/>
  <c r="C20" i="10"/>
  <c r="L242" i="1"/>
  <c r="L324" i="1"/>
  <c r="C23" i="10"/>
  <c r="L246" i="1"/>
  <c r="L260" i="1"/>
  <c r="C26" i="10" s="1"/>
  <c r="L261" i="1"/>
  <c r="I655" i="1"/>
  <c r="I660" i="1"/>
  <c r="G651" i="1"/>
  <c r="G652" i="1"/>
  <c r="I659" i="1"/>
  <c r="C42" i="10"/>
  <c r="C32" i="10"/>
  <c r="B2" i="10"/>
  <c r="K343" i="1"/>
  <c r="L511" i="1"/>
  <c r="F539" i="1" s="1"/>
  <c r="L512" i="1"/>
  <c r="F540" i="1"/>
  <c r="L513" i="1"/>
  <c r="F541" i="1" s="1"/>
  <c r="L516" i="1"/>
  <c r="G539" i="1"/>
  <c r="L517" i="1"/>
  <c r="G540" i="1" s="1"/>
  <c r="L518" i="1"/>
  <c r="G541" i="1" s="1"/>
  <c r="L521" i="1"/>
  <c r="H539" i="1"/>
  <c r="L522" i="1"/>
  <c r="H540" i="1" s="1"/>
  <c r="L523" i="1"/>
  <c r="H541" i="1"/>
  <c r="L526" i="1"/>
  <c r="I539" i="1" s="1"/>
  <c r="L527" i="1"/>
  <c r="I540" i="1" s="1"/>
  <c r="L528" i="1"/>
  <c r="I541" i="1"/>
  <c r="L531" i="1"/>
  <c r="J539" i="1" s="1"/>
  <c r="J542" i="1" s="1"/>
  <c r="L532" i="1"/>
  <c r="J540" i="1"/>
  <c r="L533" i="1"/>
  <c r="J541" i="1"/>
  <c r="E124" i="2"/>
  <c r="E123" i="2"/>
  <c r="A1" i="2"/>
  <c r="A2" i="2"/>
  <c r="C9" i="2"/>
  <c r="D9" i="2"/>
  <c r="D19" i="2" s="1"/>
  <c r="E9" i="2"/>
  <c r="E19" i="2" s="1"/>
  <c r="F9" i="2"/>
  <c r="I431" i="1"/>
  <c r="J9" i="1"/>
  <c r="G9" i="2"/>
  <c r="C10" i="2"/>
  <c r="D10" i="2"/>
  <c r="E10" i="2"/>
  <c r="F10" i="2"/>
  <c r="I432" i="1"/>
  <c r="I438" i="1" s="1"/>
  <c r="G632" i="1" s="1"/>
  <c r="J10" i="1"/>
  <c r="C11" i="2"/>
  <c r="C12" i="2"/>
  <c r="D12" i="2"/>
  <c r="E12" i="2"/>
  <c r="F12" i="2"/>
  <c r="F19" i="2" s="1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19" i="2"/>
  <c r="C22" i="2"/>
  <c r="C32" i="2" s="1"/>
  <c r="D22" i="2"/>
  <c r="E22" i="2"/>
  <c r="E32" i="2" s="1"/>
  <c r="F22" i="2"/>
  <c r="I440" i="1"/>
  <c r="J23" i="1" s="1"/>
  <c r="C23" i="2"/>
  <c r="D23" i="2"/>
  <c r="E23" i="2"/>
  <c r="F23" i="2"/>
  <c r="I441" i="1"/>
  <c r="J24" i="1"/>
  <c r="G23" i="2" s="1"/>
  <c r="C24" i="2"/>
  <c r="D24" i="2"/>
  <c r="E24" i="2"/>
  <c r="F24" i="2"/>
  <c r="I442" i="1"/>
  <c r="I444" i="1" s="1"/>
  <c r="C25" i="2"/>
  <c r="D25" i="2"/>
  <c r="E25" i="2"/>
  <c r="F25" i="2"/>
  <c r="C26" i="2"/>
  <c r="F26" i="2"/>
  <c r="C27" i="2"/>
  <c r="F27" i="2"/>
  <c r="C28" i="2"/>
  <c r="D28" i="2"/>
  <c r="D32" i="2" s="1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I443" i="1"/>
  <c r="J32" i="1"/>
  <c r="G31" i="2"/>
  <c r="C34" i="2"/>
  <c r="D34" i="2"/>
  <c r="D42" i="2" s="1"/>
  <c r="D43" i="2" s="1"/>
  <c r="E34" i="2"/>
  <c r="F34" i="2"/>
  <c r="F42" i="2" s="1"/>
  <c r="F43" i="2" s="1"/>
  <c r="C35" i="2"/>
  <c r="D35" i="2"/>
  <c r="E35" i="2"/>
  <c r="F35" i="2"/>
  <c r="C36" i="2"/>
  <c r="D36" i="2"/>
  <c r="E36" i="2"/>
  <c r="E42" i="2" s="1"/>
  <c r="E43" i="2" s="1"/>
  <c r="F36" i="2"/>
  <c r="I446" i="1"/>
  <c r="J37" i="1"/>
  <c r="G36" i="2" s="1"/>
  <c r="C37" i="2"/>
  <c r="C42" i="2" s="1"/>
  <c r="D37" i="2"/>
  <c r="E37" i="2"/>
  <c r="F37" i="2"/>
  <c r="I447" i="1"/>
  <c r="I450" i="1" s="1"/>
  <c r="J38" i="1"/>
  <c r="G37" i="2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 s="1"/>
  <c r="C41" i="2"/>
  <c r="D41" i="2"/>
  <c r="E41" i="2"/>
  <c r="F41" i="2"/>
  <c r="C48" i="2"/>
  <c r="E48" i="2"/>
  <c r="F48" i="2"/>
  <c r="F55" i="2" s="1"/>
  <c r="C49" i="2"/>
  <c r="E49" i="2"/>
  <c r="C50" i="2"/>
  <c r="C54" i="2" s="1"/>
  <c r="C55" i="2" s="1"/>
  <c r="E50" i="2"/>
  <c r="C51" i="2"/>
  <c r="D51" i="2"/>
  <c r="E51" i="2"/>
  <c r="F51" i="2"/>
  <c r="D52" i="2"/>
  <c r="C53" i="2"/>
  <c r="D53" i="2"/>
  <c r="D54" i="2" s="1"/>
  <c r="E53" i="2"/>
  <c r="E54" i="2" s="1"/>
  <c r="F53" i="2"/>
  <c r="F54" i="2"/>
  <c r="C58" i="2"/>
  <c r="C59" i="2"/>
  <c r="C62" i="2" s="1"/>
  <c r="C61" i="2"/>
  <c r="D61" i="2"/>
  <c r="E61" i="2"/>
  <c r="F61" i="2"/>
  <c r="F62" i="2" s="1"/>
  <c r="G61" i="2"/>
  <c r="G62" i="2" s="1"/>
  <c r="D62" i="2"/>
  <c r="E62" i="2"/>
  <c r="C64" i="2"/>
  <c r="F64" i="2"/>
  <c r="F70" i="2" s="1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 s="1"/>
  <c r="G73" i="2" s="1"/>
  <c r="C70" i="2"/>
  <c r="C71" i="2"/>
  <c r="D71" i="2"/>
  <c r="E71" i="2"/>
  <c r="C72" i="2"/>
  <c r="E72" i="2"/>
  <c r="C77" i="2"/>
  <c r="C83" i="2" s="1"/>
  <c r="D77" i="2"/>
  <c r="D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F95" i="2"/>
  <c r="E103" i="2"/>
  <c r="C104" i="2"/>
  <c r="C105" i="2"/>
  <c r="E105" i="2"/>
  <c r="C106" i="2"/>
  <c r="D107" i="2"/>
  <c r="F107" i="2"/>
  <c r="G107" i="2"/>
  <c r="E110" i="2"/>
  <c r="E112" i="2"/>
  <c r="C114" i="2"/>
  <c r="E115" i="2"/>
  <c r="C116" i="2"/>
  <c r="F120" i="2"/>
  <c r="G120" i="2"/>
  <c r="C122" i="2"/>
  <c r="D126" i="2"/>
  <c r="D136" i="2" s="1"/>
  <c r="F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 s="1"/>
  <c r="L257" i="1"/>
  <c r="C129" i="2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 s="1"/>
  <c r="B149" i="2"/>
  <c r="C149" i="2"/>
  <c r="D149" i="2"/>
  <c r="G149" i="2" s="1"/>
  <c r="E149" i="2"/>
  <c r="F149" i="2"/>
  <c r="B150" i="2"/>
  <c r="C150" i="2"/>
  <c r="D150" i="2"/>
  <c r="E150" i="2"/>
  <c r="F150" i="2"/>
  <c r="G150" i="2" s="1"/>
  <c r="B151" i="2"/>
  <c r="C151" i="2"/>
  <c r="D151" i="2"/>
  <c r="G151" i="2" s="1"/>
  <c r="E151" i="2"/>
  <c r="F151" i="2"/>
  <c r="B152" i="2"/>
  <c r="C152" i="2"/>
  <c r="D152" i="2"/>
  <c r="E152" i="2"/>
  <c r="F152" i="2"/>
  <c r="G152" i="2" s="1"/>
  <c r="F490" i="1"/>
  <c r="B153" i="2"/>
  <c r="G490" i="1"/>
  <c r="K490" i="1" s="1"/>
  <c r="C153" i="2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G156" i="2" s="1"/>
  <c r="G493" i="1"/>
  <c r="C156" i="2"/>
  <c r="H493" i="1"/>
  <c r="D156" i="2"/>
  <c r="I493" i="1"/>
  <c r="E156" i="2"/>
  <c r="J493" i="1"/>
  <c r="F156" i="2"/>
  <c r="F19" i="1"/>
  <c r="G607" i="1" s="1"/>
  <c r="G19" i="1"/>
  <c r="G608" i="1" s="1"/>
  <c r="J608" i="1" s="1"/>
  <c r="H19" i="1"/>
  <c r="F33" i="1"/>
  <c r="G33" i="1"/>
  <c r="H33" i="1"/>
  <c r="F43" i="1"/>
  <c r="G43" i="1"/>
  <c r="G44" i="1" s="1"/>
  <c r="H608" i="1" s="1"/>
  <c r="H43" i="1"/>
  <c r="H44" i="1" s="1"/>
  <c r="H609" i="1" s="1"/>
  <c r="J609" i="1" s="1"/>
  <c r="I43" i="1"/>
  <c r="F44" i="1"/>
  <c r="H607" i="1" s="1"/>
  <c r="F203" i="1"/>
  <c r="F249" i="1" s="1"/>
  <c r="F263" i="1" s="1"/>
  <c r="G203" i="1"/>
  <c r="H203" i="1"/>
  <c r="I203" i="1"/>
  <c r="I249" i="1" s="1"/>
  <c r="I263" i="1" s="1"/>
  <c r="J203" i="1"/>
  <c r="J249" i="1" s="1"/>
  <c r="K203" i="1"/>
  <c r="F221" i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H249" i="1"/>
  <c r="H263" i="1" s="1"/>
  <c r="K249" i="1"/>
  <c r="F282" i="1"/>
  <c r="G282" i="1"/>
  <c r="H282" i="1"/>
  <c r="I282" i="1"/>
  <c r="F301" i="1"/>
  <c r="G301" i="1"/>
  <c r="H301" i="1"/>
  <c r="I301" i="1"/>
  <c r="I330" i="1" s="1"/>
  <c r="I344" i="1" s="1"/>
  <c r="F320" i="1"/>
  <c r="F330" i="1" s="1"/>
  <c r="F344" i="1" s="1"/>
  <c r="G320" i="1"/>
  <c r="H320" i="1"/>
  <c r="I320" i="1"/>
  <c r="G330" i="1"/>
  <c r="G344" i="1" s="1"/>
  <c r="H330" i="1"/>
  <c r="H344" i="1" s="1"/>
  <c r="K330" i="1"/>
  <c r="K344" i="1" s="1"/>
  <c r="F354" i="1"/>
  <c r="G354" i="1"/>
  <c r="H354" i="1"/>
  <c r="I354" i="1"/>
  <c r="J354" i="1"/>
  <c r="K354" i="1"/>
  <c r="I360" i="1"/>
  <c r="I361" i="1" s="1"/>
  <c r="H624" i="1" s="1"/>
  <c r="F361" i="1"/>
  <c r="G361" i="1"/>
  <c r="H361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F400" i="1" s="1"/>
  <c r="H633" i="1" s="1"/>
  <c r="G399" i="1"/>
  <c r="G400" i="1" s="1"/>
  <c r="H635" i="1" s="1"/>
  <c r="H399" i="1"/>
  <c r="I399" i="1"/>
  <c r="H400" i="1"/>
  <c r="I400" i="1"/>
  <c r="L405" i="1"/>
  <c r="L411" i="1" s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F426" i="1" s="1"/>
  <c r="G425" i="1"/>
  <c r="G426" i="1" s="1"/>
  <c r="H425" i="1"/>
  <c r="I425" i="1"/>
  <c r="J425" i="1"/>
  <c r="L425" i="1"/>
  <c r="F438" i="1"/>
  <c r="G629" i="1" s="1"/>
  <c r="H438" i="1"/>
  <c r="G631" i="1" s="1"/>
  <c r="F444" i="1"/>
  <c r="G444" i="1"/>
  <c r="H444" i="1"/>
  <c r="F450" i="1"/>
  <c r="F451" i="1" s="1"/>
  <c r="H629" i="1" s="1"/>
  <c r="G450" i="1"/>
  <c r="H450" i="1"/>
  <c r="G451" i="1"/>
  <c r="H451" i="1"/>
  <c r="H631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K514" i="1"/>
  <c r="K535" i="1" s="1"/>
  <c r="L514" i="1"/>
  <c r="F519" i="1"/>
  <c r="G519" i="1"/>
  <c r="H519" i="1"/>
  <c r="H535" i="1" s="1"/>
  <c r="I519" i="1"/>
  <c r="J519" i="1"/>
  <c r="J535" i="1" s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5" i="1"/>
  <c r="L547" i="1"/>
  <c r="L550" i="1" s="1"/>
  <c r="L548" i="1"/>
  <c r="L549" i="1"/>
  <c r="F550" i="1"/>
  <c r="F561" i="1" s="1"/>
  <c r="G550" i="1"/>
  <c r="G561" i="1" s="1"/>
  <c r="H550" i="1"/>
  <c r="H561" i="1" s="1"/>
  <c r="I550" i="1"/>
  <c r="I561" i="1" s="1"/>
  <c r="J550" i="1"/>
  <c r="J561" i="1" s="1"/>
  <c r="K550" i="1"/>
  <c r="L552" i="1"/>
  <c r="L553" i="1"/>
  <c r="L555" i="1" s="1"/>
  <c r="L554" i="1"/>
  <c r="F555" i="1"/>
  <c r="G555" i="1"/>
  <c r="H555" i="1"/>
  <c r="I555" i="1"/>
  <c r="J555" i="1"/>
  <c r="K555" i="1"/>
  <c r="L557" i="1"/>
  <c r="L558" i="1"/>
  <c r="L559" i="1"/>
  <c r="F560" i="1"/>
  <c r="G560" i="1"/>
  <c r="H560" i="1"/>
  <c r="I560" i="1"/>
  <c r="J560" i="1"/>
  <c r="K560" i="1"/>
  <c r="L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J588" i="1"/>
  <c r="H641" i="1" s="1"/>
  <c r="K588" i="1"/>
  <c r="G637" i="1" s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L604" i="1"/>
  <c r="G609" i="1"/>
  <c r="G610" i="1"/>
  <c r="J610" i="1" s="1"/>
  <c r="G612" i="1"/>
  <c r="G613" i="1"/>
  <c r="G614" i="1"/>
  <c r="G615" i="1"/>
  <c r="G624" i="1"/>
  <c r="H630" i="1"/>
  <c r="G633" i="1"/>
  <c r="J633" i="1" s="1"/>
  <c r="G634" i="1"/>
  <c r="H634" i="1"/>
  <c r="J634" i="1" s="1"/>
  <c r="G640" i="1"/>
  <c r="J640" i="1" s="1"/>
  <c r="H640" i="1"/>
  <c r="G641" i="1"/>
  <c r="G642" i="1"/>
  <c r="H642" i="1"/>
  <c r="J642" i="1" s="1"/>
  <c r="G643" i="1"/>
  <c r="H643" i="1"/>
  <c r="J643" i="1"/>
  <c r="G644" i="1"/>
  <c r="J644" i="1" s="1"/>
  <c r="H644" i="1"/>
  <c r="G645" i="1"/>
  <c r="J645" i="1" s="1"/>
  <c r="F31" i="2"/>
  <c r="F32" i="2"/>
  <c r="I44" i="1"/>
  <c r="H610" i="1"/>
  <c r="G22" i="2" l="1"/>
  <c r="J33" i="1"/>
  <c r="C27" i="10"/>
  <c r="G462" i="1"/>
  <c r="G625" i="1"/>
  <c r="I451" i="1"/>
  <c r="H632" i="1" s="1"/>
  <c r="G96" i="2"/>
  <c r="C130" i="2"/>
  <c r="L400" i="1"/>
  <c r="I185" i="1"/>
  <c r="G542" i="1"/>
  <c r="C38" i="10"/>
  <c r="J624" i="1"/>
  <c r="L561" i="1"/>
  <c r="K263" i="1"/>
  <c r="J43" i="1"/>
  <c r="G40" i="2"/>
  <c r="L262" i="1"/>
  <c r="F185" i="1"/>
  <c r="K541" i="1"/>
  <c r="D31" i="13"/>
  <c r="C31" i="13" s="1"/>
  <c r="G618" i="1"/>
  <c r="G458" i="1"/>
  <c r="L426" i="1"/>
  <c r="J19" i="1"/>
  <c r="G611" i="1" s="1"/>
  <c r="K540" i="1"/>
  <c r="J263" i="1"/>
  <c r="H638" i="1"/>
  <c r="J638" i="1" s="1"/>
  <c r="C73" i="2"/>
  <c r="C96" i="2" s="1"/>
  <c r="J632" i="1"/>
  <c r="I542" i="1"/>
  <c r="G33" i="13"/>
  <c r="I462" i="1"/>
  <c r="G626" i="1"/>
  <c r="F73" i="2"/>
  <c r="F96" i="2" s="1"/>
  <c r="F542" i="1"/>
  <c r="K539" i="1"/>
  <c r="J458" i="1"/>
  <c r="G636" i="1"/>
  <c r="G621" i="1"/>
  <c r="J641" i="1"/>
  <c r="J631" i="1"/>
  <c r="G153" i="2"/>
  <c r="C43" i="2"/>
  <c r="G650" i="1"/>
  <c r="G654" i="1" s="1"/>
  <c r="J629" i="1"/>
  <c r="J607" i="1"/>
  <c r="E55" i="2"/>
  <c r="E96" i="2" s="1"/>
  <c r="G42" i="2"/>
  <c r="H542" i="1"/>
  <c r="C39" i="10"/>
  <c r="G19" i="2"/>
  <c r="E136" i="2"/>
  <c r="F33" i="13"/>
  <c r="J639" i="1"/>
  <c r="H185" i="1"/>
  <c r="E116" i="2"/>
  <c r="E120" i="2" s="1"/>
  <c r="J25" i="1"/>
  <c r="G24" i="2" s="1"/>
  <c r="C29" i="10"/>
  <c r="H651" i="1"/>
  <c r="C21" i="10"/>
  <c r="F22" i="13"/>
  <c r="C22" i="13" s="1"/>
  <c r="L301" i="1"/>
  <c r="D48" i="2"/>
  <c r="D55" i="2" s="1"/>
  <c r="D96" i="2" s="1"/>
  <c r="F651" i="1"/>
  <c r="I651" i="1" s="1"/>
  <c r="L258" i="1"/>
  <c r="C133" i="2" s="1"/>
  <c r="C136" i="2" s="1"/>
  <c r="D15" i="13"/>
  <c r="C15" i="13" s="1"/>
  <c r="D6" i="13"/>
  <c r="C6" i="13" s="1"/>
  <c r="C110" i="2"/>
  <c r="L529" i="1"/>
  <c r="E102" i="2"/>
  <c r="C18" i="10"/>
  <c r="L330" i="1"/>
  <c r="L344" i="1" s="1"/>
  <c r="K262" i="1"/>
  <c r="H637" i="1"/>
  <c r="J637" i="1" s="1"/>
  <c r="C102" i="2"/>
  <c r="C17" i="10"/>
  <c r="H25" i="13"/>
  <c r="C16" i="10"/>
  <c r="C28" i="10" s="1"/>
  <c r="D5" i="13"/>
  <c r="E8" i="13"/>
  <c r="L239" i="1"/>
  <c r="H650" i="1" s="1"/>
  <c r="H654" i="1" s="1"/>
  <c r="C101" i="2"/>
  <c r="G10" i="2"/>
  <c r="C25" i="10"/>
  <c r="F31" i="13"/>
  <c r="C113" i="2"/>
  <c r="E106" i="2"/>
  <c r="E107" i="2" s="1"/>
  <c r="E137" i="2" s="1"/>
  <c r="L203" i="1"/>
  <c r="L534" i="1"/>
  <c r="D119" i="2"/>
  <c r="D120" i="2" s="1"/>
  <c r="D137" i="2" s="1"/>
  <c r="L524" i="1"/>
  <c r="L535" i="1" s="1"/>
  <c r="F652" i="1"/>
  <c r="I652" i="1" s="1"/>
  <c r="E16" i="13"/>
  <c r="C16" i="13" s="1"/>
  <c r="G635" i="1"/>
  <c r="J635" i="1" s="1"/>
  <c r="K493" i="1"/>
  <c r="C111" i="2"/>
  <c r="C35" i="10"/>
  <c r="C30" i="10" l="1"/>
  <c r="D23" i="10"/>
  <c r="D22" i="10"/>
  <c r="D13" i="10"/>
  <c r="D24" i="10"/>
  <c r="D15" i="10"/>
  <c r="D20" i="10"/>
  <c r="D12" i="10"/>
  <c r="D26" i="10"/>
  <c r="D10" i="10"/>
  <c r="D19" i="10"/>
  <c r="D11" i="10"/>
  <c r="J626" i="1"/>
  <c r="G620" i="1"/>
  <c r="I458" i="1"/>
  <c r="D21" i="10"/>
  <c r="D18" i="10"/>
  <c r="H626" i="1"/>
  <c r="I464" i="1"/>
  <c r="J611" i="1"/>
  <c r="D25" i="10"/>
  <c r="C107" i="2"/>
  <c r="G627" i="1"/>
  <c r="J627" i="1" s="1"/>
  <c r="H636" i="1"/>
  <c r="G623" i="1"/>
  <c r="H462" i="1"/>
  <c r="H657" i="1"/>
  <c r="H662" i="1"/>
  <c r="C6" i="10" s="1"/>
  <c r="E33" i="13"/>
  <c r="D35" i="13" s="1"/>
  <c r="C8" i="13"/>
  <c r="C120" i="2"/>
  <c r="J621" i="1"/>
  <c r="J462" i="1"/>
  <c r="G628" i="1"/>
  <c r="J44" i="1"/>
  <c r="H611" i="1" s="1"/>
  <c r="G616" i="1"/>
  <c r="D33" i="13"/>
  <c r="D36" i="13" s="1"/>
  <c r="C5" i="13"/>
  <c r="G619" i="1"/>
  <c r="H458" i="1"/>
  <c r="J636" i="1"/>
  <c r="G460" i="1"/>
  <c r="G466" i="1" s="1"/>
  <c r="H613" i="1" s="1"/>
  <c r="J613" i="1" s="1"/>
  <c r="H618" i="1"/>
  <c r="D16" i="10"/>
  <c r="H627" i="1"/>
  <c r="J460" i="1"/>
  <c r="H621" i="1"/>
  <c r="J618" i="1"/>
  <c r="C25" i="13"/>
  <c r="H33" i="13"/>
  <c r="K542" i="1"/>
  <c r="J625" i="1"/>
  <c r="L249" i="1"/>
  <c r="L263" i="1" s="1"/>
  <c r="F650" i="1"/>
  <c r="D17" i="10"/>
  <c r="G464" i="1"/>
  <c r="H625" i="1"/>
  <c r="G662" i="1"/>
  <c r="C5" i="10" s="1"/>
  <c r="G657" i="1"/>
  <c r="D27" i="10"/>
  <c r="C36" i="10"/>
  <c r="C41" i="10" s="1"/>
  <c r="F458" i="1"/>
  <c r="G617" i="1"/>
  <c r="G32" i="2"/>
  <c r="G43" i="2" s="1"/>
  <c r="D37" i="10" l="1"/>
  <c r="D40" i="10"/>
  <c r="D39" i="10"/>
  <c r="D35" i="10"/>
  <c r="D41" i="10" s="1"/>
  <c r="D38" i="10"/>
  <c r="H628" i="1"/>
  <c r="J628" i="1" s="1"/>
  <c r="J464" i="1"/>
  <c r="J466" i="1" s="1"/>
  <c r="H616" i="1" s="1"/>
  <c r="J616" i="1" s="1"/>
  <c r="C137" i="2"/>
  <c r="D28" i="10"/>
  <c r="F654" i="1"/>
  <c r="I650" i="1"/>
  <c r="I654" i="1" s="1"/>
  <c r="F460" i="1"/>
  <c r="H617" i="1"/>
  <c r="J617" i="1" s="1"/>
  <c r="G622" i="1"/>
  <c r="F462" i="1"/>
  <c r="H619" i="1"/>
  <c r="J619" i="1" s="1"/>
  <c r="H460" i="1"/>
  <c r="D36" i="10"/>
  <c r="I460" i="1"/>
  <c r="I466" i="1" s="1"/>
  <c r="H615" i="1" s="1"/>
  <c r="J615" i="1" s="1"/>
  <c r="H620" i="1"/>
  <c r="H623" i="1"/>
  <c r="H464" i="1"/>
  <c r="J620" i="1"/>
  <c r="J623" i="1"/>
  <c r="H466" i="1" l="1"/>
  <c r="H614" i="1" s="1"/>
  <c r="J614" i="1" s="1"/>
  <c r="J622" i="1"/>
  <c r="H622" i="1"/>
  <c r="F464" i="1"/>
  <c r="F466" i="1"/>
  <c r="H612" i="1" s="1"/>
  <c r="I657" i="1"/>
  <c r="I662" i="1"/>
  <c r="C7" i="10" s="1"/>
  <c r="F662" i="1"/>
  <c r="C4" i="10" s="1"/>
  <c r="F657" i="1"/>
  <c r="J612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D6E1F08-77AF-4C44-BA36-0BF21188E7D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E191E82-642E-4E78-9A9E-D3D0A07CD808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49AF6D3-1F3D-42F6-9F79-F9B421ABD4C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7013F4D-3A1D-436B-97B0-46A5ADBC265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1CA65F1-680F-41BF-9C96-123DCF02F4D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3BE70BC-417A-4228-93DD-7747CCC0153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482D8F6-75AD-4E76-8CCE-C8B12AA2EB1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D52CDA2-0032-47DF-B615-1CDCCEC8A1A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DCAEB43-C338-48FD-A254-F39BB9323B2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0CC3B47-332A-4945-AA33-DD07A62FEEE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6566B42-0239-409E-8928-867DBDE907F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1EA7A77-DDAF-4B3D-980E-DE8943166E6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<sst xmlns="http://schemas.openxmlformats.org/spreadsheetml/2006/main" count="3869" uniqueCount="906">
  <si>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</si>
  <si>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</si>
  <si>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</si>
  <si>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</si>
  <si>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</si>
  <si>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</si>
  <si>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</si>
  <si>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</si>
  <si>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</si>
  <si>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</si>
  <si>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</si>
  <si>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</si>
  <si>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</si>
  <si>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</si>
  <si>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</si>
  <si>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</si>
  <si>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</si>
  <si>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</si>
  <si>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</si>
  <si>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</si>
  <si>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</si>
  <si>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</si>
  <si>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</si>
  <si>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</si>
  <si>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</si>
  <si>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</si>
  <si>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</si>
  <si>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</si>
  <si>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</si>
  <si>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</si>
  <si>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</si>
  <si>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</si>
  <si>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</si>
  <si>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</si>
  <si>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</si>
  <si>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</si>
  <si>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</si>
  <si>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</si>
  <si>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</si>
  <si>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</si>
  <si>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</si>
  <si>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</si>
  <si>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</si>
  <si>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</si>
  <si>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</si>
  <si>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</si>
  <si>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</si>
  <si>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</si>
  <si>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</si>
  <si>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</si>
  <si>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</si>
  <si>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</si>
  <si>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</si>
  <si>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</si>
  <si>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</si>
  <si>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</si>
  <si>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</si>
  <si>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</si>
  <si>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</si>
  <si>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</si>
  <si>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</si>
  <si>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</si>
  <si>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</si>
  <si>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</si>
  <si>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</si>
  <si>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</si>
  <si>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</si>
  <si>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</si>
  <si>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</si>
  <si>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</si>
  <si>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</si>
  <si>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</si>
  <si>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</si>
  <si>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</si>
  <si>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</si>
  <si>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</si>
  <si>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</si>
  <si>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</si>
  <si>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</si>
  <si>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</si>
  <si>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</si>
  <si>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</si>
  <si>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</si>
  <si>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</si>
  <si>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</si>
  <si>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</si>
  <si>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</si>
  <si>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</si>
  <si>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</si>
  <si>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</si>
  <si>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</si>
  <si>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</si>
  <si>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</si>
  <si>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</si>
  <si>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</si>
  <si>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</si>
  <si>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</si>
  <si>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</si>
  <si>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</si>
  <si>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</si>
  <si>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</si>
  <si>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</si>
  <si>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</si>
  <si>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</si>
  <si>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</si>
  <si>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</si>
  <si>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</si>
  <si>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</si>
  <si>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</si>
  <si>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</si>
  <si>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</si>
  <si>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</si>
  <si>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</si>
  <si>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</si>
  <si>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</si>
  <si>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</si>
  <si>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</si>
  <si>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</si>
  <si>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</si>
  <si>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</si>
  <si>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</si>
  <si>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</si>
  <si>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</si>
  <si>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</si>
  <si>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</si>
  <si>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</si>
  <si>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</si>
  <si>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</si>
  <si>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</si>
  <si>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</si>
  <si>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</si>
  <si>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</si>
  <si>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</si>
  <si>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</si>
  <si>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</si>
  <si>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</si>
  <si>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</si>
  <si>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</si>
  <si>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</si>
  <si>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</si>
  <si>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</si>
  <si>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</si>
  <si>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</si>
  <si>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</si>
  <si>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</si>
  <si>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</si>
  <si>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</si>
  <si>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</si>
  <si>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</si>
  <si>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</si>
  <si>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</si>
  <si>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</si>
  <si>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</si>
  <si>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</si>
  <si>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</si>
  <si>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</si>
  <si>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</si>
  <si>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</si>
  <si>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</si>
  <si>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</si>
  <si>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</si>
  <si>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</si>
  <si>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</si>
  <si>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</si>
  <si>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</si>
  <si>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</si>
  <si>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</si>
  <si>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</si>
  <si>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</si>
  <si>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</si>
  <si>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</si>
  <si>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</si>
  <si>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</si>
  <si>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</si>
  <si>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</si>
  <si>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</si>
  <si>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</si>
  <si>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</si>
  <si>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</si>
  <si>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</si>
  <si>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</si>
  <si>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</si>
  <si>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</si>
  <si>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</si>
  <si>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</si>
  <si>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</si>
  <si>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</si>
  <si>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</si>
  <si>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</si>
  <si>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</si>
  <si>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</si>
  <si>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</si>
  <si>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</si>
  <si>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</si>
  <si>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</si>
  <si>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</si>
  <si>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</si>
  <si>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</si>
  <si>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</si>
  <si>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</si>
  <si>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</si>
  <si>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</si>
  <si>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</si>
  <si>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</si>
  <si>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</si>
  <si>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</si>
  <si>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</si>
  <si>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</si>
  <si>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</si>
  <si>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</si>
  <si>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</si>
  <si>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</si>
  <si>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</si>
  <si>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</si>
  <si>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</si>
  <si>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</si>
  <si>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</si>
  <si>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</si>
  <si>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</si>
  <si>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</si>
  <si>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</si>
  <si>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</si>
  <si>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</si>
  <si>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</si>
  <si>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</si>
  <si>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</si>
  <si>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</si>
  <si>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</si>
  <si>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</si>
  <si>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</si>
  <si>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</si>
  <si>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</si>
  <si>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</si>
  <si>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</si>
  <si>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</si>
  <si>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</si>
  <si>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</si>
  <si>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</si>
  <si>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</si>
  <si>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</si>
  <si>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</si>
  <si>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</si>
  <si>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</si>
  <si>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</si>
  <si>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</si>
  <si>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</si>
  <si>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</si>
  <si>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</si>
  <si>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</si>
  <si>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</si>
  <si>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</si>
  <si>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</si>
  <si>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</si>
  <si>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</si>
  <si>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</si>
  <si>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</si>
  <si>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</si>
  <si>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</si>
  <si>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</si>
  <si>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</si>
  <si>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</si>
  <si>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</si>
  <si>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</si>
  <si>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</si>
  <si>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</si>
  <si>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</si>
  <si>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</si>
  <si>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</si>
  <si>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</si>
  <si>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</si>
  <si>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</si>
  <si>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</si>
  <si>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</si>
  <si>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</si>
  <si>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</si>
  <si>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</si>
  <si>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</si>
  <si>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</si>
  <si>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</si>
  <si>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</si>
  <si>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</si>
  <si>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</si>
  <si>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</si>
  <si>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</si>
  <si>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</si>
  <si>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</si>
  <si>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</si>
  <si>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</si>
  <si>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</si>
  <si>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</si>
  <si>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</si>
  <si>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</si>
  <si>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</si>
  <si>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</si>
  <si>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</si>
  <si>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</si>
  <si>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</si>
  <si>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</si>
  <si>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</si>
  <si>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</si>
  <si>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</si>
  <si>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</si>
  <si>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</si>
  <si>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</si>
  <si>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</si>
  <si>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</si>
  <si>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</si>
  <si>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</si>
  <si>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</si>
  <si>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</si>
  <si>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</si>
  <si>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</si>
  <si>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</si>
  <si>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</si>
  <si>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</si>
  <si>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</si>
  <si>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</si>
  <si>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</si>
  <si>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</si>
  <si>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</si>
  <si>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</si>
  <si>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</si>
  <si>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</si>
  <si>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</si>
  <si>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</si>
  <si>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</si>
  <si>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</si>
  <si>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</si>
  <si>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</si>
  <si>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</si>
  <si>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</si>
  <si>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</si>
  <si>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</si>
  <si>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</si>
  <si>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</si>
  <si>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</si>
  <si>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</si>
  <si>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</si>
  <si>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</si>
  <si>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</si>
  <si>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</si>
  <si>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</si>
  <si>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</si>
  <si>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</si>
  <si>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</si>
  <si>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</si>
  <si>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</si>
  <si>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</si>
  <si>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</si>
  <si>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</si>
  <si>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</si>
  <si>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</si>
  <si>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</si>
  <si>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</si>
  <si>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</si>
  <si>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</si>
  <si>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</si>
  <si>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</si>
  <si>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</si>
  <si>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</si>
  <si>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</si>
  <si>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</si>
  <si>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</si>
  <si>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</si>
  <si>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</si>
  <si>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</si>
  <si>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</si>
  <si>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</si>
  <si>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</si>
  <si>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</si>
  <si>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</si>
  <si>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</si>
  <si>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</si>
  <si>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</si>
  <si>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</si>
  <si>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</si>
  <si>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</si>
  <si>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</si>
  <si>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</si>
  <si>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</si>
  <si>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</si>
  <si>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</si>
  <si>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</si>
  <si>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</si>
  <si>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</si>
  <si>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</si>
  <si>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</si>
  <si>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</si>
  <si>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</si>
  <si>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</si>
  <si>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</si>
  <si>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</si>
  <si>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</si>
  <si>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</si>
  <si>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</si>
  <si>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</si>
  <si>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</si>
  <si>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</si>
  <si>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</si>
  <si>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</si>
  <si>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</si>
  <si>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</si>
  <si>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</si>
  <si>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</si>
  <si>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</si>
  <si>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</si>
  <si>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</si>
  <si>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</si>
  <si>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</si>
  <si>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</si>
  <si>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</si>
  <si>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</si>
  <si>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</si>
  <si>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</si>
  <si>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</si>
  <si>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</si>
  <si>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</si>
  <si>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</si>
  <si>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</si>
  <si>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</si>
  <si>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</si>
  <si>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</si>
  <si>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</si>
  <si>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</si>
  <si>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</si>
  <si>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</si>
  <si>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</si>
  <si>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</si>
  <si>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</si>
  <si>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</si>
  <si>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</si>
  <si>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</si>
  <si>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</si>
  <si>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</si>
  <si>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</si>
  <si>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</si>
  <si>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</si>
  <si>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</si>
  <si>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</si>
  <si>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</si>
  <si>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</si>
  <si>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</si>
  <si>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</si>
  <si>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</si>
  <si>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</si>
  <si>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</si>
  <si>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</si>
  <si>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</si>
  <si>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</si>
  <si>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</si>
  <si>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</si>
  <si>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</si>
  <si>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</si>
  <si>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</si>
  <si>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</si>
  <si>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</si>
  <si>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</si>
  <si>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</si>
  <si>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</si>
  <si>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</si>
  <si>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</si>
  <si>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</si>
  <si>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</si>
  <si>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</si>
  <si>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</si>
  <si>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</si>
  <si>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</si>
  <si>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</si>
  <si>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</si>
  <si>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</si>
  <si>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</si>
  <si>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</si>
  <si>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</si>
  <si>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</si>
  <si>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</si>
  <si>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</si>
  <si>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</si>
  <si>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</si>
  <si>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</si>
  <si>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</si>
  <si>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</si>
  <si>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</si>
  <si>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</si>
  <si>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</si>
  <si>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</si>
  <si>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</si>
  <si>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</si>
  <si>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</si>
  <si>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</si>
  <si>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</si>
  <si>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</si>
  <si>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</si>
  <si>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</si>
  <si>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</si>
  <si>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</si>
  <si>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</si>
  <si>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</si>
  <si>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</si>
  <si>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</si>
  <si>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</si>
  <si>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</si>
  <si>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</si>
  <si>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</si>
  <si>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</si>
  <si>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</si>
  <si>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</si>
  <si>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</si>
  <si>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</si>
  <si>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</si>
  <si>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</si>
  <si>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</si>
  <si>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</si>
  <si>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</si>
  <si>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</si>
  <si>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</si>
  <si>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</si>
  <si>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</si>
  <si>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</si>
  <si>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</si>
  <si>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</si>
  <si>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</si>
  <si>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</si>
  <si>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</si>
  <si>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</si>
  <si>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</si>
  <si>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</si>
  <si>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</si>
  <si>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</si>
  <si>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</si>
  <si>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</si>
  <si>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</si>
  <si>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</si>
  <si>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</si>
  <si>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</si>
  <si>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</si>
  <si>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</si>
  <si>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</si>
  <si>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</si>
  <si>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</si>
  <si>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</si>
  <si>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</si>
  <si>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</si>
  <si>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</si>
  <si>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</si>
  <si>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</si>
  <si>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</si>
  <si>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</si>
  <si>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</si>
  <si>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</si>
  <si>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</si>
  <si>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</si>
  <si>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</si>
  <si>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</si>
  <si>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</si>
  <si>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</si>
  <si>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</si>
  <si>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</si>
  <si>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</si>
  <si>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</si>
  <si>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</si>
  <si>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</si>
  <si>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</si>
  <si>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</si>
  <si>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</si>
  <si>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</si>
  <si>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</si>
  <si>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</si>
  <si>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</si>
  <si>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</si>
  <si>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</si>
  <si>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</si>
  <si>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</si>
  <si>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</si>
  <si>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</si>
  <si>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</si>
  <si>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</si>
  <si>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</si>
  <si>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</si>
  <si>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</si>
  <si>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</si>
  <si>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</si>
  <si>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</si>
  <si>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</si>
  <si>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</si>
  <si>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</si>
  <si>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</si>
  <si>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</si>
  <si>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</si>
  <si>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</si>
  <si>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</si>
  <si>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</si>
  <si>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</si>
  <si>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</si>
  <si>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</si>
  <si>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</si>
  <si>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</si>
  <si>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</si>
  <si>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</si>
  <si>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</si>
  <si>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</si>
  <si>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</si>
  <si>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</si>
  <si>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</si>
  <si>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</si>
  <si>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</si>
  <si>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</si>
  <si>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</si>
  <si>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</si>
  <si>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</si>
  <si>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</si>
  <si>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</si>
  <si>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</si>
  <si>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</si>
  <si>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</si>
  <si>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</si>
  <si>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</si>
  <si>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</si>
  <si>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</si>
  <si>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</si>
  <si>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</si>
  <si>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</si>
  <si>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</si>
  <si>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</si>
  <si>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</si>
  <si>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</si>
  <si>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</si>
  <si>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</si>
  <si>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</si>
  <si>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</si>
  <si>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</si>
  <si>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</si>
  <si>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</si>
  <si>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</si>
  <si>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</si>
  <si>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</si>
  <si>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</si>
  <si>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</si>
  <si>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</si>
  <si>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</si>
  <si>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</si>
  <si>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</si>
  <si>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</si>
  <si>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</si>
  <si>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</si>
  <si>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</si>
  <si>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</si>
  <si>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</si>
  <si>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</si>
  <si>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</si>
  <si>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</si>
  <si>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</si>
  <si>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</si>
  <si>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</si>
  <si>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</si>
  <si>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</si>
  <si>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</si>
  <si>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</si>
  <si>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</si>
  <si>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</si>
  <si>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</si>
  <si>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</si>
  <si>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</si>
  <si>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</si>
  <si>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</si>
  <si>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</si>
  <si>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</si>
  <si>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</si>
  <si>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</si>
  <si>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</si>
  <si>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</si>
  <si>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</si>
  <si>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</si>
  <si>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</si>
  <si>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</si>
  <si>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</si>
  <si>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</si>
  <si>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</si>
  <si>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</si>
  <si>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</si>
  <si>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</si>
  <si>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</si>
  <si>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</si>
  <si>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</si>
  <si>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</si>
  <si>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</si>
  <si>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</si>
  <si>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</si>
  <si>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</si>
  <si>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</si>
  <si>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</si>
  <si>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</si>
  <si>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</si>
  <si>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</si>
  <si>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</si>
  <si>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</si>
  <si>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</si>
  <si>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</si>
  <si>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</si>
  <si>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</si>
  <si>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</si>
  <si>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</si>
  <si>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</si>
  <si>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</si>
  <si>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</si>
  <si>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</si>
  <si>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</si>
  <si>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</si>
  <si>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</si>
  <si>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</si>
  <si>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</si>
  <si>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</si>
  <si>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</si>
  <si>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</si>
  <si>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</si>
  <si>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</si>
  <si>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</si>
  <si>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</si>
  <si>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</si>
  <si>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</si>
  <si>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</si>
  <si>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</si>
  <si>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</si>
  <si>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</si>
  <si>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</si>
  <si>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</si>
  <si>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</si>
  <si>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</si>
  <si>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</si>
  <si>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</si>
  <si>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</si>
  <si>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</si>
  <si>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</si>
  <si>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</si>
  <si>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</si>
  <si>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</si>
  <si>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</si>
  <si>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</si>
  <si>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</si>
  <si>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</si>
  <si>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</si>
  <si>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</si>
  <si>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</si>
  <si>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</si>
  <si>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</si>
  <si>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</si>
  <si>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</si>
  <si>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</si>
  <si>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</si>
  <si>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</si>
  <si>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</si>
  <si>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</si>
  <si>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</si>
  <si>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</si>
  <si>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</si>
  <si>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</si>
  <si>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</si>
  <si>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</si>
  <si>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</si>
  <si>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</si>
  <si>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</si>
  <si>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</si>
  <si>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</si>
  <si>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</si>
  <si>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</si>
  <si>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</si>
  <si>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</si>
  <si>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</si>
  <si>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</si>
  <si>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</si>
  <si>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</si>
  <si>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</si>
  <si>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</si>
  <si>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</si>
  <si>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</si>
  <si>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</si>
  <si>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</si>
  <si>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</si>
  <si>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</si>
  <si>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</si>
  <si>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</si>
  <si>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</si>
  <si>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</si>
  <si>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</si>
  <si>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</si>
  <si>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</si>
  <si>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</si>
  <si>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</si>
  <si>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</si>
  <si>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</si>
  <si>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</si>
  <si>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</si>
  <si>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</si>
  <si>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</si>
  <si>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</si>
  <si>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</si>
  <si>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</si>
  <si>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</si>
  <si>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</si>
  <si>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</si>
  <si>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</si>
  <si>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</si>
  <si>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</si>
  <si>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</si>
  <si>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</si>
  <si>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</si>
  <si>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</si>
  <si>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</si>
  <si>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</si>
  <si>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</si>
  <si>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</si>
  <si>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</si>
  <si>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</si>
  <si>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</si>
  <si>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</si>
  <si>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</si>
  <si>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</si>
  <si>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</si>
  <si>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</si>
  <si>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</si>
  <si>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</si>
  <si>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</si>
  <si>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</si>
  <si>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</si>
  <si>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</si>
  <si>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</si>
  <si>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</si>
  <si>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</si>
  <si>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</si>
  <si>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</si>
  <si>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</si>
  <si>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</si>
  <si>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</si>
  <si>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</si>
  <si>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</si>
  <si>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</si>
  <si>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</si>
  <si>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</si>
  <si>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</si>
  <si>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</si>
  <si>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</si>
  <si>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</si>
  <si>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</si>
  <si>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</si>
  <si>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</si>
  <si>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</si>
  <si>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</si>
  <si>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</si>
  <si>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</si>
  <si>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</si>
  <si>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</si>
  <si>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</si>
  <si>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</si>
  <si>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</si>
  <si>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</si>
  <si>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</si>
  <si>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</si>
  <si>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</si>
  <si>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</si>
  <si>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</si>
  <si>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</si>
  <si>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</si>
  <si>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</si>
  <si>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</si>
  <si>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</si>
  <si>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</si>
  <si>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</si>
  <si>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</si>
  <si>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</si>
  <si>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</si>
  <si>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</si>
  <si>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</si>
  <si>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</si>
  <si>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</si>
  <si>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</si>
  <si>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</si>
  <si>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</si>
  <si>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</si>
  <si>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</si>
  <si>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</si>
  <si>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</si>
  <si>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</si>
  <si>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</si>
  <si>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</si>
  <si>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</si>
  <si>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</si>
  <si>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</si>
  <si>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</si>
  <si>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</si>
  <si>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</si>
  <si>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</si>
  <si>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</si>
  <si>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</si>
  <si>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</si>
  <si>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</si>
  <si>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08/02</t>
  </si>
  <si>
    <t>08/22</t>
  </si>
  <si>
    <t>06/10</t>
  </si>
  <si>
    <t>03/27</t>
  </si>
  <si>
    <t>gross</t>
  </si>
  <si>
    <t>before Fed reimbursement</t>
  </si>
  <si>
    <t>365,662.68 less 25% upcharge for reserve fund 91,415.67</t>
  </si>
  <si>
    <t>Littleton SD</t>
  </si>
  <si>
    <t>Transfer from General Fund to Trust/Agency Fund - $166,818.01</t>
  </si>
  <si>
    <t xml:space="preserve">  a.  60,000 - Reserve for Amounts voted FY2010 Budget</t>
  </si>
  <si>
    <t xml:space="preserve">  b. 91,415.76 - Differential charge that is placed in a capital reserve fund - Voc Ed T &amp; T</t>
  </si>
  <si>
    <t xml:space="preserve">  c.  $15,402.34 -??? No clue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</si>
</sst>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left"/>
      <protection locked="0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7AC6-0645-4D7C-A105-0740202FD4B4}">
  <sheetPr transitionEvaluation="1" transitionEntry="1" codeName="Sheet1">
    <tabColor indexed="56"/>
  </sheetPr>
  <dimension ref="A1:AQ666"/>
  <sheetViews>
    <sheetView tabSelected="1" zoomScale="75" workbookViewId="0">
      <pane xSplit="5" ySplit="6" topLeftCell="F639" activePane="bottomRight" state="frozen"/>
      <selection pane="topRight" activeCell="F1" sqref="F1"/>
      <selection pane="bottomLeft" activeCell="A7" sqref="A7"/>
      <selection pane="bottomRight" activeCell="P644" sqref="P64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901</v>
      </c>
      <c r="B2" s="21">
        <v>317</v>
      </c>
      <c r="C2" s="21">
        <v>317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162118.65</v>
      </c>
      <c r="G9" s="18"/>
      <c r="H9" s="18"/>
      <c r="I9" s="18">
        <v>12635.85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123071.1</v>
      </c>
      <c r="G10" s="18"/>
      <c r="H10" s="18"/>
      <c r="I10" s="18">
        <v>3980663.1</v>
      </c>
      <c r="J10" s="67">
        <f>SUM(I432)</f>
        <v>381196.99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271">
        <v>191971.8</v>
      </c>
      <c r="G12" s="18"/>
      <c r="H12" s="271"/>
      <c r="I12" s="271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73146.039999999994</v>
      </c>
      <c r="G13" s="18">
        <v>32768.1</v>
      </c>
      <c r="H13" s="18">
        <v>291180.58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96797.34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12007.12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647104.92999999993</v>
      </c>
      <c r="G19" s="41">
        <f>SUM(G9:G18)</f>
        <v>44775.22</v>
      </c>
      <c r="H19" s="41">
        <f>SUM(H9:H18)</f>
        <v>291180.58</v>
      </c>
      <c r="I19" s="41">
        <f>SUM(I9:I18)</f>
        <v>3993298.95</v>
      </c>
      <c r="J19" s="41">
        <f>SUM(J9:J18)</f>
        <v>381196.99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19394.78</v>
      </c>
      <c r="H23" s="271">
        <v>277399.37</v>
      </c>
      <c r="I23" s="271">
        <v>8983.6000000000349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139370.92000000001</v>
      </c>
      <c r="G25" s="18">
        <v>121.01</v>
      </c>
      <c r="H25" s="18">
        <v>13781.36</v>
      </c>
      <c r="I25" s="18">
        <v>90465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-69.430000000000007</v>
      </c>
      <c r="G29" s="18"/>
      <c r="H29" s="18"/>
      <c r="I29" s="18">
        <v>775.08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-1567.79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3741.47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137733.70000000001</v>
      </c>
      <c r="G33" s="41">
        <f>SUM(G23:G32)</f>
        <v>23257.26</v>
      </c>
      <c r="H33" s="41">
        <f>SUM(H23:H32)</f>
        <v>291180.73</v>
      </c>
      <c r="I33" s="41">
        <f>SUM(I23:I32)</f>
        <v>100223.68000000004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12007.12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148220</v>
      </c>
      <c r="G37" s="18"/>
      <c r="H37" s="18"/>
      <c r="I37" s="272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/>
      <c r="H38" s="18"/>
      <c r="I38" s="18">
        <v>3880472.2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33598</v>
      </c>
      <c r="G41" s="18">
        <v>9510.84</v>
      </c>
      <c r="H41" s="18">
        <v>-0.15</v>
      </c>
      <c r="I41" s="18">
        <v>12603.07</v>
      </c>
      <c r="J41" s="13">
        <f>SUM(I449)</f>
        <v>381196.99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277553.23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509371.23</v>
      </c>
      <c r="G43" s="41">
        <f>SUM(G35:G42)</f>
        <v>21517.96</v>
      </c>
      <c r="H43" s="41">
        <f>SUM(H35:H42)</f>
        <v>-0.15</v>
      </c>
      <c r="I43" s="41">
        <f>SUM(I35:I42)</f>
        <v>3893075.27</v>
      </c>
      <c r="J43" s="41">
        <f>SUM(J35:J42)</f>
        <v>381196.99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647104.92999999993</v>
      </c>
      <c r="G44" s="41">
        <f>G43+G33</f>
        <v>44775.22</v>
      </c>
      <c r="H44" s="41">
        <f>H43+H33</f>
        <v>291180.57999999996</v>
      </c>
      <c r="I44" s="41">
        <f>I43+I33</f>
        <v>3993298.95</v>
      </c>
      <c r="J44" s="41">
        <f>J43+J33</f>
        <v>381196.99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8393181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8393181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7962.19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87648.63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95610.82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6031.46</v>
      </c>
      <c r="G88" s="18"/>
      <c r="H88" s="18"/>
      <c r="I88" s="18">
        <v>55.88</v>
      </c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190154.16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5950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84264.35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90295.810000000012</v>
      </c>
      <c r="G103" s="41">
        <f>SUM(G88:G102)</f>
        <v>190154.16</v>
      </c>
      <c r="H103" s="41">
        <f>SUM(H88:H102)</f>
        <v>5950</v>
      </c>
      <c r="I103" s="41">
        <f>SUM(I88:I102)</f>
        <v>55.88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8579087.6300000008</v>
      </c>
      <c r="G104" s="41">
        <f>G52+G103</f>
        <v>190154.16</v>
      </c>
      <c r="H104" s="41">
        <f>H52+H71+H86+H103</f>
        <v>5950</v>
      </c>
      <c r="I104" s="41">
        <f>I52+I103</f>
        <v>55.88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2777289.13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1318960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1065559.8700000001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5161809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91806.96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64188.41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274247.01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23070.81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21835.9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4200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457513.19</v>
      </c>
      <c r="G128" s="41">
        <f>SUM(G115:G127)</f>
        <v>21835.9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5619322.1900000004</v>
      </c>
      <c r="G132" s="41">
        <f>G113+SUM(G128:G129)</f>
        <v>21835.9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537000.01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190717.79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70339.61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31631.71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173835.11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330142.48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131420.57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131420.57</v>
      </c>
      <c r="G154" s="41">
        <f>SUM(G142:G153)</f>
        <v>173835.11</v>
      </c>
      <c r="H154" s="41">
        <f>SUM(H142:H153)</f>
        <v>1159831.6000000001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1983.82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133404.39000000001</v>
      </c>
      <c r="G161" s="41">
        <f>G139+G154+SUM(G155:G160)</f>
        <v>173835.11</v>
      </c>
      <c r="H161" s="41">
        <f>H139+H154+SUM(H155:H160)</f>
        <v>1159831.6000000001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4160640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4160640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>
        <v>268156.99</v>
      </c>
      <c r="J171" s="18">
        <v>166818.01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268156.99</v>
      </c>
      <c r="J175" s="41">
        <f>SUM(J171:J174)</f>
        <v>166818.01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4428796.99</v>
      </c>
      <c r="J184" s="41">
        <f>J175</f>
        <v>166818.01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14331814.210000001</v>
      </c>
      <c r="G185" s="47">
        <f>G104+G132+G161+G184</f>
        <v>385825.17</v>
      </c>
      <c r="H185" s="47">
        <f>H104+H132+H161+H184</f>
        <v>1165781.6000000001</v>
      </c>
      <c r="I185" s="47">
        <f>I104+I132+I161+I184</f>
        <v>4428852.87</v>
      </c>
      <c r="J185" s="47">
        <f>J104+J132+J184</f>
        <v>166818.01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1881150.28</v>
      </c>
      <c r="G189" s="18">
        <v>784155.53</v>
      </c>
      <c r="H189" s="18">
        <v>0</v>
      </c>
      <c r="I189" s="18">
        <v>53977.8</v>
      </c>
      <c r="J189" s="18">
        <v>7513.12</v>
      </c>
      <c r="K189" s="18">
        <v>0</v>
      </c>
      <c r="L189" s="19">
        <f>SUM(F189:K189)</f>
        <v>2726796.73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787423.74</v>
      </c>
      <c r="G190" s="18">
        <v>379784.4</v>
      </c>
      <c r="H190" s="18">
        <v>142801.45000000001</v>
      </c>
      <c r="I190" s="18">
        <v>9166.58</v>
      </c>
      <c r="J190" s="18">
        <v>914.31</v>
      </c>
      <c r="K190" s="18">
        <v>796.13</v>
      </c>
      <c r="L190" s="19">
        <f>SUM(F190:K190)</f>
        <v>1320886.6100000001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2087</v>
      </c>
      <c r="G192" s="18">
        <v>312.3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2399.3000000000002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241853.43</v>
      </c>
      <c r="G194" s="18">
        <v>72366.19</v>
      </c>
      <c r="H194" s="18">
        <v>72311.14</v>
      </c>
      <c r="I194" s="18">
        <v>4341.46</v>
      </c>
      <c r="J194" s="18">
        <v>1460.08</v>
      </c>
      <c r="K194" s="18">
        <v>250</v>
      </c>
      <c r="L194" s="19">
        <f t="shared" ref="L194:L200" si="0">SUM(F194:K194)</f>
        <v>392582.30000000005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62245</v>
      </c>
      <c r="G195" s="18">
        <v>21953.42</v>
      </c>
      <c r="H195" s="18">
        <v>3496.2</v>
      </c>
      <c r="I195" s="18">
        <v>3598.28</v>
      </c>
      <c r="J195" s="18">
        <v>0</v>
      </c>
      <c r="K195" s="18">
        <v>4831.71</v>
      </c>
      <c r="L195" s="19">
        <f t="shared" si="0"/>
        <v>96124.61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144767.22</v>
      </c>
      <c r="G196" s="18">
        <v>41319.660000000003</v>
      </c>
      <c r="H196" s="18">
        <v>79048.509999999995</v>
      </c>
      <c r="I196" s="18">
        <v>5753.95</v>
      </c>
      <c r="J196" s="18">
        <v>905.71</v>
      </c>
      <c r="K196" s="18">
        <v>2774.23</v>
      </c>
      <c r="L196" s="19">
        <f t="shared" si="0"/>
        <v>274569.28000000003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239370.35</v>
      </c>
      <c r="G197" s="18">
        <v>80604.08</v>
      </c>
      <c r="H197" s="18">
        <v>29134.15</v>
      </c>
      <c r="I197" s="18">
        <v>24573.13</v>
      </c>
      <c r="J197" s="18">
        <v>2366.29</v>
      </c>
      <c r="K197" s="18">
        <v>1971.4</v>
      </c>
      <c r="L197" s="19">
        <f t="shared" si="0"/>
        <v>378019.4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54236</v>
      </c>
      <c r="G198" s="18">
        <v>21066.639999999999</v>
      </c>
      <c r="H198" s="18">
        <v>9446.4599999999991</v>
      </c>
      <c r="I198" s="18">
        <v>505.96</v>
      </c>
      <c r="J198" s="18">
        <v>0</v>
      </c>
      <c r="K198" s="18">
        <v>107.15</v>
      </c>
      <c r="L198" s="19">
        <f t="shared" si="0"/>
        <v>85362.21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158895.74</v>
      </c>
      <c r="G199" s="18">
        <v>106728.77</v>
      </c>
      <c r="H199" s="18">
        <v>99869.81</v>
      </c>
      <c r="I199" s="18">
        <v>143229.51999999999</v>
      </c>
      <c r="J199" s="18">
        <v>11000.51</v>
      </c>
      <c r="K199" s="18">
        <v>277.52</v>
      </c>
      <c r="L199" s="19">
        <f t="shared" si="0"/>
        <v>520001.87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20091.509999999998</v>
      </c>
      <c r="G200" s="18">
        <v>11414.42</v>
      </c>
      <c r="H200" s="18">
        <v>125512.18</v>
      </c>
      <c r="I200" s="18">
        <v>5068.82</v>
      </c>
      <c r="J200" s="18">
        <v>0</v>
      </c>
      <c r="K200" s="18">
        <v>0</v>
      </c>
      <c r="L200" s="19">
        <f t="shared" si="0"/>
        <v>162086.93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58201.3</v>
      </c>
      <c r="G201" s="18">
        <v>13773.95</v>
      </c>
      <c r="H201" s="18">
        <v>32073.75</v>
      </c>
      <c r="I201" s="18">
        <v>13290.64</v>
      </c>
      <c r="J201" s="18">
        <v>37903.800000000003</v>
      </c>
      <c r="K201" s="18">
        <v>0</v>
      </c>
      <c r="L201" s="19">
        <f>SUM(F201:K201)</f>
        <v>155243.44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3650321.5700000003</v>
      </c>
      <c r="G203" s="41">
        <f t="shared" si="1"/>
        <v>1533479.3599999999</v>
      </c>
      <c r="H203" s="41">
        <f t="shared" si="1"/>
        <v>593693.65000000014</v>
      </c>
      <c r="I203" s="41">
        <f t="shared" si="1"/>
        <v>263506.14</v>
      </c>
      <c r="J203" s="41">
        <f t="shared" si="1"/>
        <v>62063.820000000007</v>
      </c>
      <c r="K203" s="41">
        <f t="shared" si="1"/>
        <v>11008.14</v>
      </c>
      <c r="L203" s="41">
        <f t="shared" si="1"/>
        <v>6114072.6800000006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556324.47</v>
      </c>
      <c r="G207" s="18">
        <v>208547.47</v>
      </c>
      <c r="H207" s="18">
        <v>192.09</v>
      </c>
      <c r="I207" s="18">
        <v>19329.91</v>
      </c>
      <c r="J207" s="18">
        <v>6677.8</v>
      </c>
      <c r="K207" s="18">
        <v>0</v>
      </c>
      <c r="L207" s="19">
        <f>SUM(F207:K207)</f>
        <v>791071.74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209233.02</v>
      </c>
      <c r="G208" s="18">
        <v>99559.74</v>
      </c>
      <c r="H208" s="18">
        <v>71904.73</v>
      </c>
      <c r="I208" s="18">
        <v>6177.51</v>
      </c>
      <c r="J208" s="18">
        <v>762.27</v>
      </c>
      <c r="K208" s="18">
        <v>714.38</v>
      </c>
      <c r="L208" s="19">
        <f>SUM(F208:K208)</f>
        <v>388351.65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89912.35</v>
      </c>
      <c r="G209" s="18">
        <v>29333.43</v>
      </c>
      <c r="H209" s="18">
        <v>0</v>
      </c>
      <c r="I209" s="18">
        <v>1880.7</v>
      </c>
      <c r="J209" s="18">
        <v>0</v>
      </c>
      <c r="K209" s="18">
        <v>0</v>
      </c>
      <c r="L209" s="19">
        <f>SUM(F209:K209)</f>
        <v>121126.48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22874</v>
      </c>
      <c r="G210" s="18">
        <v>2477.63</v>
      </c>
      <c r="H210" s="18">
        <v>7586.92</v>
      </c>
      <c r="I210" s="18">
        <v>0</v>
      </c>
      <c r="J210" s="18">
        <v>4826</v>
      </c>
      <c r="K210" s="18">
        <v>0</v>
      </c>
      <c r="L210" s="19">
        <f>SUM(F210:K210)</f>
        <v>37764.550000000003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128225.63</v>
      </c>
      <c r="G212" s="18">
        <v>33931.15</v>
      </c>
      <c r="H212" s="18">
        <v>10835.6</v>
      </c>
      <c r="I212" s="18">
        <v>2684.03</v>
      </c>
      <c r="J212" s="18">
        <v>313.85000000000002</v>
      </c>
      <c r="K212" s="18">
        <v>1386.7</v>
      </c>
      <c r="L212" s="19">
        <f t="shared" ref="L212:L218" si="2">SUM(F212:K212)</f>
        <v>177376.96000000002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52495</v>
      </c>
      <c r="G213" s="18">
        <v>20507.419999999998</v>
      </c>
      <c r="H213" s="18">
        <v>0</v>
      </c>
      <c r="I213" s="18">
        <v>2304.86</v>
      </c>
      <c r="J213" s="18">
        <v>0</v>
      </c>
      <c r="K213" s="18">
        <v>2428.5100000000002</v>
      </c>
      <c r="L213" s="19">
        <f t="shared" si="2"/>
        <v>77735.789999999994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50904.66</v>
      </c>
      <c r="G214" s="18">
        <v>14529.28</v>
      </c>
      <c r="H214" s="18">
        <v>27795.919999999998</v>
      </c>
      <c r="I214" s="18">
        <v>2023.26</v>
      </c>
      <c r="J214" s="18">
        <v>318.49</v>
      </c>
      <c r="K214" s="18">
        <v>975.5</v>
      </c>
      <c r="L214" s="19">
        <f t="shared" si="2"/>
        <v>96547.11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77466.02</v>
      </c>
      <c r="G215" s="18">
        <v>30466.52</v>
      </c>
      <c r="H215" s="18">
        <v>9000.93</v>
      </c>
      <c r="I215" s="18">
        <v>6145.61</v>
      </c>
      <c r="J215" s="18">
        <v>0</v>
      </c>
      <c r="K215" s="18">
        <v>3259.23</v>
      </c>
      <c r="L215" s="19">
        <f t="shared" si="2"/>
        <v>126338.31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19071.07</v>
      </c>
      <c r="G216" s="18">
        <v>7407.69</v>
      </c>
      <c r="H216" s="18">
        <v>3321.67</v>
      </c>
      <c r="I216" s="18">
        <v>177.91</v>
      </c>
      <c r="J216" s="18">
        <v>0</v>
      </c>
      <c r="K216" s="18">
        <v>37.68</v>
      </c>
      <c r="L216" s="19">
        <f t="shared" si="2"/>
        <v>30016.02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36363.49</v>
      </c>
      <c r="G217" s="18">
        <v>18664.810000000001</v>
      </c>
      <c r="H217" s="18">
        <v>17059.86</v>
      </c>
      <c r="I217" s="18">
        <v>44319.42</v>
      </c>
      <c r="J217" s="18">
        <v>368.78</v>
      </c>
      <c r="K217" s="18">
        <v>0</v>
      </c>
      <c r="L217" s="19">
        <f t="shared" si="2"/>
        <v>116776.36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72594.67</v>
      </c>
      <c r="I218" s="18">
        <v>0</v>
      </c>
      <c r="J218" s="18">
        <v>0</v>
      </c>
      <c r="K218" s="18">
        <v>0</v>
      </c>
      <c r="L218" s="19">
        <f t="shared" si="2"/>
        <v>72594.67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20465.39</v>
      </c>
      <c r="G219" s="18">
        <v>4843.3500000000004</v>
      </c>
      <c r="H219" s="18">
        <v>11278.13</v>
      </c>
      <c r="I219" s="18">
        <v>4673.3999999999996</v>
      </c>
      <c r="J219" s="18">
        <v>13328.16</v>
      </c>
      <c r="K219" s="18">
        <v>0</v>
      </c>
      <c r="L219" s="19">
        <f>SUM(F219:K219)</f>
        <v>54588.429999999993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1263335.0999999999</v>
      </c>
      <c r="G221" s="41">
        <f>SUM(G207:G220)</f>
        <v>470268.49000000005</v>
      </c>
      <c r="H221" s="41">
        <f>SUM(H207:H220)</f>
        <v>231570.52000000002</v>
      </c>
      <c r="I221" s="41">
        <f>SUM(I207:I220)</f>
        <v>89716.609999999986</v>
      </c>
      <c r="J221" s="41">
        <f>SUM(J207:J220)</f>
        <v>26595.35</v>
      </c>
      <c r="K221" s="41">
        <f t="shared" si="3"/>
        <v>8802</v>
      </c>
      <c r="L221" s="41">
        <f t="shared" si="3"/>
        <v>2090288.0700000003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972806.05</v>
      </c>
      <c r="G225" s="18">
        <v>371568.72</v>
      </c>
      <c r="H225" s="18">
        <v>39498.129999999997</v>
      </c>
      <c r="I225" s="18">
        <v>32304.98</v>
      </c>
      <c r="J225" s="18">
        <v>11964.9</v>
      </c>
      <c r="K225" s="18">
        <v>0</v>
      </c>
      <c r="L225" s="19">
        <f>SUM(F225:K225)</f>
        <v>1428142.7799999998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316491.56</v>
      </c>
      <c r="G226" s="18">
        <v>154702.79</v>
      </c>
      <c r="H226" s="18">
        <v>517772.04</v>
      </c>
      <c r="I226" s="18">
        <v>6478.5</v>
      </c>
      <c r="J226" s="18">
        <v>660.28</v>
      </c>
      <c r="K226" s="18">
        <v>971.74</v>
      </c>
      <c r="L226" s="19">
        <f>SUM(F226:K226)</f>
        <v>997076.90999999992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607306.12</v>
      </c>
      <c r="G227" s="18">
        <v>211158.96</v>
      </c>
      <c r="H227" s="18">
        <v>41443.699999999997</v>
      </c>
      <c r="I227" s="18">
        <v>33437.61</v>
      </c>
      <c r="J227" s="18">
        <v>16581.61</v>
      </c>
      <c r="K227" s="18">
        <v>7619.75</v>
      </c>
      <c r="L227" s="19">
        <f>SUM(F227:K227)</f>
        <v>917547.74999999988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110229</v>
      </c>
      <c r="G228" s="18">
        <v>14466.21</v>
      </c>
      <c r="H228" s="18">
        <v>14862.93</v>
      </c>
      <c r="I228" s="18">
        <v>5800.22</v>
      </c>
      <c r="J228" s="18">
        <v>14988.23</v>
      </c>
      <c r="K228" s="18">
        <v>20191.830000000002</v>
      </c>
      <c r="L228" s="19">
        <f>SUM(F228:K228)</f>
        <v>180538.41999999998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120522.65</v>
      </c>
      <c r="G230" s="18">
        <v>49018.73</v>
      </c>
      <c r="H230" s="18">
        <v>16472.400000000001</v>
      </c>
      <c r="I230" s="18">
        <v>5314.7</v>
      </c>
      <c r="J230" s="18">
        <v>1240.6199999999999</v>
      </c>
      <c r="K230" s="18">
        <v>4477.8</v>
      </c>
      <c r="L230" s="19">
        <f t="shared" ref="L230:L236" si="4">SUM(F230:K230)</f>
        <v>197046.9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69945</v>
      </c>
      <c r="G231" s="18">
        <v>27328.78</v>
      </c>
      <c r="H231" s="18">
        <v>560</v>
      </c>
      <c r="I231" s="18">
        <v>6406.65</v>
      </c>
      <c r="J231" s="18">
        <v>470.32</v>
      </c>
      <c r="K231" s="18">
        <v>4524.2700000000004</v>
      </c>
      <c r="L231" s="19">
        <f t="shared" si="4"/>
        <v>109235.02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88040.34</v>
      </c>
      <c r="G232" s="18">
        <v>25128.6</v>
      </c>
      <c r="H232" s="18">
        <v>48073.43</v>
      </c>
      <c r="I232" s="18">
        <v>3499.27</v>
      </c>
      <c r="J232" s="18">
        <v>550.80999999999995</v>
      </c>
      <c r="K232" s="18">
        <v>1687.14</v>
      </c>
      <c r="L232" s="19">
        <f t="shared" si="4"/>
        <v>166979.59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292816.71000000002</v>
      </c>
      <c r="G233" s="18">
        <v>92335.2</v>
      </c>
      <c r="H233" s="18">
        <v>33179.620000000003</v>
      </c>
      <c r="I233" s="18">
        <v>8757.39</v>
      </c>
      <c r="J233" s="18">
        <v>2176.84</v>
      </c>
      <c r="K233" s="18">
        <v>4948.8599999999997</v>
      </c>
      <c r="L233" s="19">
        <f t="shared" si="4"/>
        <v>434214.62000000005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32983.67</v>
      </c>
      <c r="G234" s="18">
        <v>12811.7</v>
      </c>
      <c r="H234" s="18">
        <v>5744.87</v>
      </c>
      <c r="I234" s="18">
        <v>307.7</v>
      </c>
      <c r="J234" s="18">
        <v>0</v>
      </c>
      <c r="K234" s="18">
        <v>65.17</v>
      </c>
      <c r="L234" s="19">
        <f t="shared" si="4"/>
        <v>51913.109999999993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198422.06</v>
      </c>
      <c r="G235" s="18">
        <v>78656.899999999994</v>
      </c>
      <c r="H235" s="18">
        <v>111288.41</v>
      </c>
      <c r="I235" s="18">
        <v>217075.48</v>
      </c>
      <c r="J235" s="18">
        <v>1585.11</v>
      </c>
      <c r="K235" s="18">
        <v>1189.8900000000001</v>
      </c>
      <c r="L235" s="19">
        <f t="shared" si="4"/>
        <v>608217.85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114709.8</v>
      </c>
      <c r="I236" s="18">
        <v>0</v>
      </c>
      <c r="J236" s="18">
        <v>0</v>
      </c>
      <c r="K236" s="18">
        <v>0</v>
      </c>
      <c r="L236" s="19">
        <f t="shared" si="4"/>
        <v>114709.8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35395.18</v>
      </c>
      <c r="G237" s="18">
        <v>8376.64</v>
      </c>
      <c r="H237" s="18">
        <v>19505.7</v>
      </c>
      <c r="I237" s="18">
        <v>8082.71</v>
      </c>
      <c r="J237" s="18">
        <v>23051.24</v>
      </c>
      <c r="K237" s="18">
        <v>44486.41</v>
      </c>
      <c r="L237" s="19">
        <f>SUM(F237:K237)</f>
        <v>138897.88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2844958.34</v>
      </c>
      <c r="G239" s="41">
        <f t="shared" si="5"/>
        <v>1045553.2299999999</v>
      </c>
      <c r="H239" s="41">
        <f t="shared" si="5"/>
        <v>963111.03</v>
      </c>
      <c r="I239" s="41">
        <f t="shared" si="5"/>
        <v>327465.21000000002</v>
      </c>
      <c r="J239" s="41">
        <f t="shared" si="5"/>
        <v>73269.960000000006</v>
      </c>
      <c r="K239" s="41">
        <f t="shared" si="5"/>
        <v>90162.86</v>
      </c>
      <c r="L239" s="41">
        <f t="shared" si="5"/>
        <v>5344520.629999999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7758615.0099999998</v>
      </c>
      <c r="G249" s="41">
        <f t="shared" si="8"/>
        <v>3049301.0799999996</v>
      </c>
      <c r="H249" s="41">
        <f t="shared" si="8"/>
        <v>1788375.2000000002</v>
      </c>
      <c r="I249" s="41">
        <f t="shared" si="8"/>
        <v>680687.96</v>
      </c>
      <c r="J249" s="41">
        <f t="shared" si="8"/>
        <v>161929.13</v>
      </c>
      <c r="K249" s="41">
        <f t="shared" si="8"/>
        <v>109973</v>
      </c>
      <c r="L249" s="41">
        <f t="shared" si="8"/>
        <v>13548881.379999999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300000</v>
      </c>
      <c r="L252" s="19">
        <f>SUM(F252:K252)</f>
        <v>300000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168900</v>
      </c>
      <c r="L253" s="19">
        <f>SUM(F253:K253)</f>
        <v>168900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268156.99</v>
      </c>
      <c r="L257" s="19">
        <f t="shared" si="9"/>
        <v>268156.99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10000+15000+15000+10000+10000+106818.01</f>
        <v>166818.01</v>
      </c>
      <c r="L258" s="19">
        <f t="shared" si="9"/>
        <v>166818.01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903875</v>
      </c>
      <c r="L262" s="41">
        <f t="shared" si="9"/>
        <v>903875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7758615.0099999998</v>
      </c>
      <c r="G263" s="42">
        <f t="shared" si="11"/>
        <v>3049301.0799999996</v>
      </c>
      <c r="H263" s="42">
        <f t="shared" si="11"/>
        <v>1788375.2000000002</v>
      </c>
      <c r="I263" s="42">
        <f t="shared" si="11"/>
        <v>680687.96</v>
      </c>
      <c r="J263" s="42">
        <f t="shared" si="11"/>
        <v>161929.13</v>
      </c>
      <c r="K263" s="42">
        <f t="shared" si="11"/>
        <v>1013848</v>
      </c>
      <c r="L263" s="42">
        <f t="shared" si="11"/>
        <v>14452756.379999999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251709.82</v>
      </c>
      <c r="G268" s="18">
        <v>76401.25</v>
      </c>
      <c r="H268" s="18">
        <v>200220.49</v>
      </c>
      <c r="I268" s="18">
        <v>50499.18</v>
      </c>
      <c r="J268" s="18">
        <v>0</v>
      </c>
      <c r="K268" s="18">
        <v>0</v>
      </c>
      <c r="L268" s="19">
        <f>SUM(F268:K268)</f>
        <v>578830.74000000011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100257.62</v>
      </c>
      <c r="G269" s="18">
        <v>20281.91</v>
      </c>
      <c r="H269" s="18">
        <v>38544.78</v>
      </c>
      <c r="I269" s="18">
        <v>8352.48</v>
      </c>
      <c r="J269" s="18">
        <v>1546.4</v>
      </c>
      <c r="K269" s="18">
        <v>0</v>
      </c>
      <c r="L269" s="19">
        <f>SUM(F269:K269)</f>
        <v>168983.19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11290.06</v>
      </c>
      <c r="G274" s="18">
        <v>1077.01</v>
      </c>
      <c r="H274" s="18">
        <v>21358.79</v>
      </c>
      <c r="I274" s="18">
        <v>5200</v>
      </c>
      <c r="J274" s="18">
        <v>0</v>
      </c>
      <c r="K274" s="18">
        <v>0</v>
      </c>
      <c r="L274" s="19">
        <f t="shared" si="12"/>
        <v>38925.86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780</v>
      </c>
      <c r="G280" s="18">
        <v>57.18</v>
      </c>
      <c r="H280" s="18">
        <v>2545.38</v>
      </c>
      <c r="I280" s="18">
        <v>70.89</v>
      </c>
      <c r="J280" s="18">
        <v>3719.72</v>
      </c>
      <c r="K280" s="18">
        <v>0</v>
      </c>
      <c r="L280" s="19">
        <f>SUM(F280:K280)</f>
        <v>7173.17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364037.5</v>
      </c>
      <c r="G282" s="42">
        <f t="shared" si="13"/>
        <v>97817.349999999991</v>
      </c>
      <c r="H282" s="42">
        <f t="shared" si="13"/>
        <v>262669.44</v>
      </c>
      <c r="I282" s="42">
        <f t="shared" si="13"/>
        <v>64122.55</v>
      </c>
      <c r="J282" s="42">
        <f t="shared" si="13"/>
        <v>5266.12</v>
      </c>
      <c r="K282" s="42">
        <f t="shared" si="13"/>
        <v>0</v>
      </c>
      <c r="L282" s="41">
        <f t="shared" si="13"/>
        <v>793912.9600000002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4951.05</v>
      </c>
      <c r="G287" s="18">
        <v>511.26</v>
      </c>
      <c r="H287" s="18">
        <v>12594.25</v>
      </c>
      <c r="I287" s="18">
        <v>1488.71</v>
      </c>
      <c r="J287" s="18">
        <v>0</v>
      </c>
      <c r="K287" s="18">
        <v>0</v>
      </c>
      <c r="L287" s="19">
        <f>SUM(F287:K287)</f>
        <v>19545.27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40103.15</v>
      </c>
      <c r="G288" s="18">
        <v>8112.73</v>
      </c>
      <c r="H288" s="18">
        <v>15417.94</v>
      </c>
      <c r="I288" s="18">
        <v>3341.12</v>
      </c>
      <c r="J288" s="18">
        <v>618.6</v>
      </c>
      <c r="K288" s="18">
        <v>0</v>
      </c>
      <c r="L288" s="19">
        <f>SUM(F288:K288)</f>
        <v>67593.540000000008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4516.01</v>
      </c>
      <c r="G293" s="18">
        <v>431</v>
      </c>
      <c r="H293" s="18">
        <v>8543.4500000000007</v>
      </c>
      <c r="I293" s="18">
        <v>2079.7600000000002</v>
      </c>
      <c r="J293" s="18">
        <v>0</v>
      </c>
      <c r="K293" s="18">
        <v>0</v>
      </c>
      <c r="L293" s="19">
        <f t="shared" si="14"/>
        <v>15570.220000000001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312</v>
      </c>
      <c r="G299" s="18">
        <v>22.8</v>
      </c>
      <c r="H299" s="18">
        <v>1018.1</v>
      </c>
      <c r="I299" s="18">
        <v>28.47</v>
      </c>
      <c r="J299" s="18">
        <v>1487.93</v>
      </c>
      <c r="K299" s="18">
        <v>0</v>
      </c>
      <c r="L299" s="19">
        <f>SUM(F299:K299)</f>
        <v>2869.3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49882.210000000006</v>
      </c>
      <c r="G301" s="42">
        <f t="shared" si="15"/>
        <v>9077.7899999999991</v>
      </c>
      <c r="H301" s="42">
        <f t="shared" si="15"/>
        <v>37573.74</v>
      </c>
      <c r="I301" s="42">
        <f t="shared" si="15"/>
        <v>6938.06</v>
      </c>
      <c r="J301" s="42">
        <f t="shared" si="15"/>
        <v>2106.5300000000002</v>
      </c>
      <c r="K301" s="42">
        <f t="shared" si="15"/>
        <v>0</v>
      </c>
      <c r="L301" s="41">
        <f t="shared" si="15"/>
        <v>105578.33000000002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7427</v>
      </c>
      <c r="G306" s="18">
        <v>767</v>
      </c>
      <c r="H306" s="18">
        <v>18892</v>
      </c>
      <c r="I306" s="18">
        <v>2233</v>
      </c>
      <c r="J306" s="18">
        <v>0</v>
      </c>
      <c r="K306" s="18">
        <v>0</v>
      </c>
      <c r="L306" s="19">
        <f>SUM(F306:K306)</f>
        <v>29319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60155</v>
      </c>
      <c r="G307" s="18">
        <v>12169</v>
      </c>
      <c r="H307" s="18">
        <v>23127</v>
      </c>
      <c r="I307" s="18">
        <v>5012</v>
      </c>
      <c r="J307" s="18">
        <v>928</v>
      </c>
      <c r="K307" s="18">
        <v>0</v>
      </c>
      <c r="L307" s="19">
        <f>SUM(F307:K307)</f>
        <v>101391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3000</v>
      </c>
      <c r="G308" s="18">
        <v>239.48</v>
      </c>
      <c r="H308" s="18">
        <v>27591.01</v>
      </c>
      <c r="I308" s="18">
        <v>7227.8</v>
      </c>
      <c r="J308" s="18">
        <v>38231.31</v>
      </c>
      <c r="K308" s="18">
        <v>0</v>
      </c>
      <c r="L308" s="19">
        <f>SUM(F308:K308)</f>
        <v>76289.600000000006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6774</v>
      </c>
      <c r="G312" s="18">
        <v>647</v>
      </c>
      <c r="H312" s="18">
        <v>12815</v>
      </c>
      <c r="I312" s="18">
        <v>3119</v>
      </c>
      <c r="J312" s="18">
        <v>0</v>
      </c>
      <c r="K312" s="18">
        <v>0</v>
      </c>
      <c r="L312" s="19">
        <f t="shared" si="16"/>
        <v>23355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468</v>
      </c>
      <c r="G318" s="18">
        <v>34</v>
      </c>
      <c r="H318" s="18">
        <v>1527</v>
      </c>
      <c r="I318" s="18">
        <v>43</v>
      </c>
      <c r="J318" s="18">
        <v>2232</v>
      </c>
      <c r="K318" s="18">
        <v>0</v>
      </c>
      <c r="L318" s="19">
        <f>SUM(F318:K318)</f>
        <v>4304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77824</v>
      </c>
      <c r="G320" s="42">
        <f t="shared" si="17"/>
        <v>13856.48</v>
      </c>
      <c r="H320" s="42">
        <f t="shared" si="17"/>
        <v>83952.01</v>
      </c>
      <c r="I320" s="42">
        <f t="shared" si="17"/>
        <v>17634.8</v>
      </c>
      <c r="J320" s="42">
        <f t="shared" si="17"/>
        <v>41391.31</v>
      </c>
      <c r="K320" s="42">
        <f t="shared" si="17"/>
        <v>0</v>
      </c>
      <c r="L320" s="41">
        <f t="shared" si="17"/>
        <v>234658.6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24188</v>
      </c>
      <c r="G325" s="18">
        <v>2876.03</v>
      </c>
      <c r="H325" s="18">
        <v>4567.68</v>
      </c>
      <c r="I325" s="18">
        <v>0</v>
      </c>
      <c r="J325" s="18">
        <v>0</v>
      </c>
      <c r="K325" s="18">
        <v>0</v>
      </c>
      <c r="L325" s="19">
        <f t="shared" si="18"/>
        <v>31631.71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24188</v>
      </c>
      <c r="G329" s="41">
        <f t="shared" si="19"/>
        <v>2876.03</v>
      </c>
      <c r="H329" s="41">
        <f t="shared" si="19"/>
        <v>4567.68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31631.71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515931.71</v>
      </c>
      <c r="G330" s="41">
        <f t="shared" si="20"/>
        <v>123627.64999999998</v>
      </c>
      <c r="H330" s="41">
        <f t="shared" si="20"/>
        <v>388762.87</v>
      </c>
      <c r="I330" s="41">
        <f t="shared" si="20"/>
        <v>88695.41</v>
      </c>
      <c r="J330" s="41">
        <f t="shared" si="20"/>
        <v>48763.96</v>
      </c>
      <c r="K330" s="41">
        <f t="shared" si="20"/>
        <v>0</v>
      </c>
      <c r="L330" s="41">
        <f t="shared" si="20"/>
        <v>1165781.6000000003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515931.71</v>
      </c>
      <c r="G344" s="41">
        <f>G330</f>
        <v>123627.64999999998</v>
      </c>
      <c r="H344" s="41">
        <f>H330</f>
        <v>388762.87</v>
      </c>
      <c r="I344" s="41">
        <f>I330</f>
        <v>88695.41</v>
      </c>
      <c r="J344" s="41">
        <f>J330</f>
        <v>48763.96</v>
      </c>
      <c r="K344" s="47">
        <f>K330+K343</f>
        <v>0</v>
      </c>
      <c r="L344" s="41">
        <f>L330+L343</f>
        <v>1165781.6000000003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71370.97</v>
      </c>
      <c r="G350" s="18">
        <v>77069.84</v>
      </c>
      <c r="H350" s="18">
        <v>4420.37</v>
      </c>
      <c r="I350" s="18">
        <v>46228.46</v>
      </c>
      <c r="J350" s="18">
        <v>0</v>
      </c>
      <c r="K350" s="18">
        <v>51.13</v>
      </c>
      <c r="L350" s="13">
        <f>SUM(F350:K350)</f>
        <v>199140.77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72314.05</v>
      </c>
      <c r="G352" s="18">
        <v>45300.18</v>
      </c>
      <c r="H352" s="18">
        <v>1118.6500000000001</v>
      </c>
      <c r="I352" s="18">
        <v>83455.77</v>
      </c>
      <c r="J352" s="18">
        <v>0</v>
      </c>
      <c r="K352" s="18">
        <v>51.12</v>
      </c>
      <c r="L352" s="19">
        <f>SUM(F352:K352)</f>
        <v>202239.77000000002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143685.02000000002</v>
      </c>
      <c r="G354" s="47">
        <f t="shared" si="22"/>
        <v>122370.01999999999</v>
      </c>
      <c r="H354" s="47">
        <f t="shared" si="22"/>
        <v>5539.02</v>
      </c>
      <c r="I354" s="47">
        <f t="shared" si="22"/>
        <v>129684.23000000001</v>
      </c>
      <c r="J354" s="47">
        <f t="shared" si="22"/>
        <v>0</v>
      </c>
      <c r="K354" s="47">
        <f t="shared" si="22"/>
        <v>102.25</v>
      </c>
      <c r="L354" s="47">
        <f t="shared" si="22"/>
        <v>401380.54000000004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38317.17</v>
      </c>
      <c r="G359" s="18"/>
      <c r="H359" s="18">
        <v>77909.61</v>
      </c>
      <c r="I359" s="56">
        <f>SUM(F359:H359)</f>
        <v>116226.78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7911.29</v>
      </c>
      <c r="G360" s="63"/>
      <c r="H360" s="63">
        <v>5546.16</v>
      </c>
      <c r="I360" s="56">
        <f>SUM(F360:H360)</f>
        <v>13457.45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46228.46</v>
      </c>
      <c r="G361" s="47">
        <f>SUM(G359:G360)</f>
        <v>0</v>
      </c>
      <c r="H361" s="47">
        <f>SUM(H359:H360)</f>
        <v>83455.77</v>
      </c>
      <c r="I361" s="47">
        <f>SUM(I359:I360)</f>
        <v>129684.23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>
        <v>1462.5</v>
      </c>
      <c r="I366" s="18"/>
      <c r="J366" s="18">
        <v>267994.49</v>
      </c>
      <c r="K366" s="18"/>
      <c r="L366" s="13">
        <f>SUM(F366:K366)</f>
        <v>269456.99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275565</v>
      </c>
      <c r="I368" s="18"/>
      <c r="J368" s="18"/>
      <c r="K368" s="18"/>
      <c r="L368" s="13">
        <f t="shared" si="23"/>
        <v>275565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3120</v>
      </c>
      <c r="G370" s="18">
        <v>238.68</v>
      </c>
      <c r="H370" s="18"/>
      <c r="I370" s="18"/>
      <c r="J370" s="18"/>
      <c r="K370" s="18"/>
      <c r="L370" s="13">
        <f t="shared" si="23"/>
        <v>3358.68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3120</v>
      </c>
      <c r="G374" s="139">
        <f t="shared" ref="G374:L374" si="24">SUM(G366:G373)</f>
        <v>238.68</v>
      </c>
      <c r="H374" s="139">
        <f t="shared" si="24"/>
        <v>277027.5</v>
      </c>
      <c r="I374" s="41">
        <f t="shared" si="24"/>
        <v>0</v>
      </c>
      <c r="J374" s="47">
        <f t="shared" si="24"/>
        <v>267994.49</v>
      </c>
      <c r="K374" s="47">
        <f t="shared" si="24"/>
        <v>0</v>
      </c>
      <c r="L374" s="47">
        <f t="shared" si="24"/>
        <v>548380.67000000004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10000</v>
      </c>
      <c r="H388" s="18"/>
      <c r="I388" s="18"/>
      <c r="J388" s="24" t="s">
        <v>312</v>
      </c>
      <c r="K388" s="24" t="s">
        <v>312</v>
      </c>
      <c r="L388" s="56">
        <f t="shared" si="26"/>
        <v>10000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10000</v>
      </c>
      <c r="H389" s="18"/>
      <c r="I389" s="18"/>
      <c r="J389" s="24" t="s">
        <v>312</v>
      </c>
      <c r="K389" s="24" t="s">
        <v>312</v>
      </c>
      <c r="L389" s="56">
        <f t="shared" si="26"/>
        <v>10000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10000</v>
      </c>
      <c r="H391" s="18"/>
      <c r="I391" s="18"/>
      <c r="J391" s="24" t="s">
        <v>312</v>
      </c>
      <c r="K391" s="24" t="s">
        <v>312</v>
      </c>
      <c r="L391" s="56">
        <f t="shared" si="26"/>
        <v>10000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136818.01</v>
      </c>
      <c r="H392" s="18"/>
      <c r="I392" s="18"/>
      <c r="J392" s="24" t="s">
        <v>312</v>
      </c>
      <c r="K392" s="24" t="s">
        <v>312</v>
      </c>
      <c r="L392" s="56">
        <f t="shared" si="26"/>
        <v>136818.01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166818.01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166818.01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166818.01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166818.01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381196.99</v>
      </c>
      <c r="H432" s="18"/>
      <c r="I432" s="56">
        <f t="shared" si="33"/>
        <v>381196.99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381196.99</v>
      </c>
      <c r="H438" s="13">
        <f>SUM(H431:H437)</f>
        <v>0</v>
      </c>
      <c r="I438" s="13">
        <f>SUM(I431:I437)</f>
        <v>381196.99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381196.99</v>
      </c>
      <c r="H449" s="18"/>
      <c r="I449" s="56">
        <f>SUM(F449:H449)</f>
        <v>381196.99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381196.99</v>
      </c>
      <c r="H450" s="83">
        <f>SUM(H446:H449)</f>
        <v>0</v>
      </c>
      <c r="I450" s="83">
        <f>SUM(I446:I449)</f>
        <v>381196.99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381196.99</v>
      </c>
      <c r="H451" s="42">
        <f>H444+H450</f>
        <v>0</v>
      </c>
      <c r="I451" s="42">
        <f>I444+I450</f>
        <v>381196.99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f>630313.4</f>
        <v>630313.4</v>
      </c>
      <c r="G455" s="18">
        <v>37073.33</v>
      </c>
      <c r="H455" s="18">
        <v>-0.15</v>
      </c>
      <c r="I455" s="18">
        <v>12603.07</v>
      </c>
      <c r="J455" s="18">
        <v>214378.98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14331814.210000001</v>
      </c>
      <c r="G458" s="18">
        <f>G185</f>
        <v>385825.17</v>
      </c>
      <c r="H458" s="18">
        <f>H185</f>
        <v>1165781.6000000001</v>
      </c>
      <c r="I458" s="18">
        <f>I185</f>
        <v>4428852.87</v>
      </c>
      <c r="J458" s="18">
        <f>J185</f>
        <v>166818.01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14331814.210000001</v>
      </c>
      <c r="G460" s="53">
        <f>SUM(G458:G459)</f>
        <v>385825.17</v>
      </c>
      <c r="H460" s="53">
        <f>SUM(H458:H459)</f>
        <v>1165781.6000000001</v>
      </c>
      <c r="I460" s="53">
        <f>SUM(I458:I459)</f>
        <v>4428852.87</v>
      </c>
      <c r="J460" s="53">
        <f>SUM(J458:J459)</f>
        <v>166818.01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14452756.379999999</v>
      </c>
      <c r="G462" s="18">
        <f>L354</f>
        <v>401380.54000000004</v>
      </c>
      <c r="H462" s="18">
        <f>L344</f>
        <v>1165781.6000000003</v>
      </c>
      <c r="I462" s="18">
        <f>L374</f>
        <v>548380.67000000004</v>
      </c>
      <c r="J462" s="18">
        <f>$L$426</f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271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14452756.379999999</v>
      </c>
      <c r="G464" s="53">
        <f>SUM(G462:G463)</f>
        <v>401380.54000000004</v>
      </c>
      <c r="H464" s="53">
        <f>SUM(H462:H463)</f>
        <v>1165781.6000000003</v>
      </c>
      <c r="I464" s="53">
        <f>SUM(I462:I463)</f>
        <v>548380.67000000004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509371.23000000231</v>
      </c>
      <c r="G466" s="53">
        <f>(G455+G460)- G464</f>
        <v>21517.959999999963</v>
      </c>
      <c r="H466" s="53">
        <f>(H455+H460)- H464</f>
        <v>-0.15000000013969839</v>
      </c>
      <c r="I466" s="53">
        <f>(I455+I460)- I464</f>
        <v>3893075.2700000005</v>
      </c>
      <c r="J466" s="53">
        <f>(J455+J460)- J464</f>
        <v>381196.99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17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6000000</v>
      </c>
      <c r="G483" s="18">
        <v>4160640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4.1900000000000004</v>
      </c>
      <c r="G484" s="18">
        <v>5.39</v>
      </c>
      <c r="H484" s="18" t="s">
        <v>899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4200000</v>
      </c>
      <c r="G485" s="18">
        <v>0</v>
      </c>
      <c r="H485" s="18"/>
      <c r="I485" s="18"/>
      <c r="J485" s="18"/>
      <c r="K485" s="53">
        <f>SUM(F485:J485)</f>
        <v>4200000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>
        <v>4160640</v>
      </c>
      <c r="H486" s="18"/>
      <c r="I486" s="18"/>
      <c r="J486" s="18"/>
      <c r="K486" s="53">
        <f t="shared" ref="K486:K493" si="34">SUM(F486:J486)</f>
        <v>4160640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300000</v>
      </c>
      <c r="G487" s="18"/>
      <c r="H487" s="18"/>
      <c r="I487" s="18"/>
      <c r="J487" s="18"/>
      <c r="K487" s="53">
        <f t="shared" si="34"/>
        <v>300000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3900000</v>
      </c>
      <c r="G488" s="205">
        <v>4160640</v>
      </c>
      <c r="H488" s="205"/>
      <c r="I488" s="205"/>
      <c r="J488" s="205"/>
      <c r="K488" s="206">
        <f t="shared" si="34"/>
        <v>8060640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1118925</v>
      </c>
      <c r="G489" s="18">
        <v>1953281.96</v>
      </c>
      <c r="H489" s="18"/>
      <c r="I489" s="18"/>
      <c r="J489" s="18"/>
      <c r="K489" s="53">
        <f t="shared" si="34"/>
        <v>3072206.96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5018925</v>
      </c>
      <c r="G490" s="42">
        <f>SUM(G488:G489)</f>
        <v>6113921.96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11132846.960000001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300000</v>
      </c>
      <c r="G491" s="205">
        <v>0</v>
      </c>
      <c r="H491" s="205"/>
      <c r="I491" s="205"/>
      <c r="J491" s="205"/>
      <c r="K491" s="206">
        <f t="shared" si="34"/>
        <v>300000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158400</v>
      </c>
      <c r="G492" s="18">
        <v>159472.71</v>
      </c>
      <c r="H492" s="18" t="s">
        <v>898</v>
      </c>
      <c r="I492" s="18"/>
      <c r="J492" s="18"/>
      <c r="K492" s="53">
        <f t="shared" si="34"/>
        <v>317872.70999999996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458400</v>
      </c>
      <c r="G493" s="42">
        <f>SUM(G491:G492)</f>
        <v>159472.71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617872.71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787423.74</v>
      </c>
      <c r="G511" s="18">
        <v>379784.4</v>
      </c>
      <c r="H511" s="18">
        <v>142801.45000000001</v>
      </c>
      <c r="I511" s="18">
        <v>9166.58</v>
      </c>
      <c r="J511" s="18">
        <v>914.31</v>
      </c>
      <c r="K511" s="18">
        <v>796.13</v>
      </c>
      <c r="L511" s="88">
        <f>SUM(F511:K511)</f>
        <v>1320886.6100000001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209233.02</v>
      </c>
      <c r="G512" s="18">
        <v>99559.74</v>
      </c>
      <c r="H512" s="18">
        <v>71904.73</v>
      </c>
      <c r="I512" s="18">
        <v>6177.51</v>
      </c>
      <c r="J512" s="18">
        <v>762.27</v>
      </c>
      <c r="K512" s="18">
        <v>714.38</v>
      </c>
      <c r="L512" s="88">
        <f>SUM(F512:K512)</f>
        <v>388351.65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316491.56</v>
      </c>
      <c r="G513" s="18">
        <v>154702.79</v>
      </c>
      <c r="H513" s="18">
        <v>517772.04</v>
      </c>
      <c r="I513" s="18">
        <v>6478.5</v>
      </c>
      <c r="J513" s="18">
        <v>660.28</v>
      </c>
      <c r="K513" s="18">
        <v>971.74</v>
      </c>
      <c r="L513" s="88">
        <f>SUM(F513:K513)</f>
        <v>997076.90999999992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1313148.32</v>
      </c>
      <c r="G514" s="108">
        <f t="shared" ref="G514:L514" si="35">SUM(G511:G513)</f>
        <v>634046.93000000005</v>
      </c>
      <c r="H514" s="108">
        <f t="shared" si="35"/>
        <v>732478.22</v>
      </c>
      <c r="I514" s="108">
        <f t="shared" si="35"/>
        <v>21822.59</v>
      </c>
      <c r="J514" s="108">
        <f t="shared" si="35"/>
        <v>2336.8599999999997</v>
      </c>
      <c r="K514" s="108">
        <f t="shared" si="35"/>
        <v>2482.25</v>
      </c>
      <c r="L514" s="89">
        <f t="shared" si="35"/>
        <v>2706315.17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126366.22</v>
      </c>
      <c r="G516" s="18">
        <v>28919.27</v>
      </c>
      <c r="H516" s="18">
        <v>72556.649999999994</v>
      </c>
      <c r="I516" s="18">
        <v>2119.34</v>
      </c>
      <c r="J516" s="18">
        <v>492.65</v>
      </c>
      <c r="K516" s="18">
        <v>250</v>
      </c>
      <c r="L516" s="88">
        <f>SUM(F516:K516)</f>
        <v>230704.12999999998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126366.22</v>
      </c>
      <c r="G519" s="89">
        <f t="shared" ref="G519:L519" si="36">SUM(G516:G518)</f>
        <v>28919.27</v>
      </c>
      <c r="H519" s="89">
        <f t="shared" si="36"/>
        <v>72556.649999999994</v>
      </c>
      <c r="I519" s="89">
        <f t="shared" si="36"/>
        <v>2119.34</v>
      </c>
      <c r="J519" s="89">
        <f t="shared" si="36"/>
        <v>492.65</v>
      </c>
      <c r="K519" s="89">
        <f t="shared" si="36"/>
        <v>250</v>
      </c>
      <c r="L519" s="89">
        <f t="shared" si="36"/>
        <v>230704.12999999998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49467.86</v>
      </c>
      <c r="G521" s="18">
        <v>23859</v>
      </c>
      <c r="H521" s="18"/>
      <c r="I521" s="18"/>
      <c r="J521" s="18"/>
      <c r="K521" s="18"/>
      <c r="L521" s="88">
        <f>SUM(F521:K521)</f>
        <v>73326.86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49467.86</v>
      </c>
      <c r="G524" s="89">
        <f t="shared" ref="G524:L524" si="37">SUM(G521:G523)</f>
        <v>23859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73326.86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>
        <v>0</v>
      </c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20091.509999999998</v>
      </c>
      <c r="G531" s="18">
        <v>11414.42</v>
      </c>
      <c r="H531" s="18">
        <v>4918.8999999999996</v>
      </c>
      <c r="I531" s="18">
        <v>5092.32</v>
      </c>
      <c r="J531" s="18"/>
      <c r="K531" s="18"/>
      <c r="L531" s="88">
        <f>SUM(F531:K531)</f>
        <v>41517.15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6509.24</v>
      </c>
      <c r="I532" s="18"/>
      <c r="J532" s="18"/>
      <c r="K532" s="18"/>
      <c r="L532" s="88">
        <f>SUM(F532:K532)</f>
        <v>6509.24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9763.86</v>
      </c>
      <c r="I533" s="18"/>
      <c r="J533" s="18"/>
      <c r="K533" s="18"/>
      <c r="L533" s="88">
        <f>SUM(F533:K533)</f>
        <v>9763.86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20091.509999999998</v>
      </c>
      <c r="G534" s="194">
        <f t="shared" ref="G534:L534" si="39">SUM(G531:G533)</f>
        <v>11414.42</v>
      </c>
      <c r="H534" s="194">
        <f t="shared" si="39"/>
        <v>21192</v>
      </c>
      <c r="I534" s="194">
        <f t="shared" si="39"/>
        <v>5092.32</v>
      </c>
      <c r="J534" s="194">
        <f t="shared" si="39"/>
        <v>0</v>
      </c>
      <c r="K534" s="194">
        <f t="shared" si="39"/>
        <v>0</v>
      </c>
      <c r="L534" s="194">
        <f t="shared" si="39"/>
        <v>57790.25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1509073.9100000001</v>
      </c>
      <c r="G535" s="89">
        <f t="shared" ref="G535:L535" si="40">G514+G519+G524+G529+G534</f>
        <v>698239.62000000011</v>
      </c>
      <c r="H535" s="89">
        <f t="shared" si="40"/>
        <v>826226.87</v>
      </c>
      <c r="I535" s="89">
        <f t="shared" si="40"/>
        <v>29034.25</v>
      </c>
      <c r="J535" s="89">
        <f t="shared" si="40"/>
        <v>2829.5099999999998</v>
      </c>
      <c r="K535" s="89">
        <f t="shared" si="40"/>
        <v>2732.25</v>
      </c>
      <c r="L535" s="89">
        <f t="shared" si="40"/>
        <v>3068136.4099999997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1320886.6100000001</v>
      </c>
      <c r="G539" s="87">
        <f>L516</f>
        <v>230704.12999999998</v>
      </c>
      <c r="H539" s="87">
        <f>L521</f>
        <v>73326.86</v>
      </c>
      <c r="I539" s="87">
        <f>L526</f>
        <v>0</v>
      </c>
      <c r="J539" s="87">
        <f>L531</f>
        <v>41517.15</v>
      </c>
      <c r="K539" s="87">
        <f>SUM(F539:J539)</f>
        <v>1666434.75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388351.65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6509.24</v>
      </c>
      <c r="K540" s="87">
        <f>SUM(F540:J540)</f>
        <v>394860.89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997076.90999999992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9763.86</v>
      </c>
      <c r="K541" s="87">
        <f>SUM(F541:J541)</f>
        <v>1006840.7699999999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2706315.17</v>
      </c>
      <c r="G542" s="89">
        <f t="shared" si="41"/>
        <v>230704.12999999998</v>
      </c>
      <c r="H542" s="89">
        <f t="shared" si="41"/>
        <v>73326.86</v>
      </c>
      <c r="I542" s="89">
        <f t="shared" si="41"/>
        <v>0</v>
      </c>
      <c r="J542" s="89">
        <f t="shared" si="41"/>
        <v>57790.25</v>
      </c>
      <c r="K542" s="89">
        <f t="shared" si="41"/>
        <v>3068136.41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>
        <v>2500</v>
      </c>
      <c r="I558" s="18"/>
      <c r="J558" s="18"/>
      <c r="K558" s="18"/>
      <c r="L558" s="88">
        <f>SUM(F558:K558)</f>
        <v>2500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>
        <v>23453.48</v>
      </c>
      <c r="I559" s="18">
        <v>681.1</v>
      </c>
      <c r="J559" s="18"/>
      <c r="K559" s="18"/>
      <c r="L559" s="88">
        <f>SUM(F559:K559)</f>
        <v>24134.579999999998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25953.48</v>
      </c>
      <c r="I560" s="194">
        <f t="shared" si="44"/>
        <v>681.1</v>
      </c>
      <c r="J560" s="194">
        <f t="shared" si="44"/>
        <v>0</v>
      </c>
      <c r="K560" s="194">
        <f t="shared" si="44"/>
        <v>0</v>
      </c>
      <c r="L560" s="194">
        <f t="shared" si="44"/>
        <v>26634.579999999998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25953.48</v>
      </c>
      <c r="I561" s="89">
        <f t="shared" si="45"/>
        <v>681.1</v>
      </c>
      <c r="J561" s="89">
        <f t="shared" si="45"/>
        <v>0</v>
      </c>
      <c r="K561" s="89">
        <f t="shared" si="45"/>
        <v>0</v>
      </c>
      <c r="L561" s="89">
        <f t="shared" si="45"/>
        <v>26634.579999999998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76669.789999999994</v>
      </c>
      <c r="G565" s="18">
        <v>0</v>
      </c>
      <c r="H565" s="18">
        <v>32841.379999999997</v>
      </c>
      <c r="I565" s="87">
        <f>SUM(F565:H565)</f>
        <v>109511.16999999998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46057.45</v>
      </c>
      <c r="G568" s="18"/>
      <c r="H568" s="18">
        <v>447699.1</v>
      </c>
      <c r="I568" s="87">
        <f t="shared" si="46"/>
        <v>493756.55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22695.88</v>
      </c>
      <c r="I571" s="87">
        <f t="shared" si="46"/>
        <v>22695.88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3428.6</v>
      </c>
      <c r="G572" s="18">
        <v>0</v>
      </c>
      <c r="H572" s="18"/>
      <c r="I572" s="87">
        <f t="shared" si="46"/>
        <v>3428.6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12355</v>
      </c>
      <c r="I574" s="87">
        <f t="shared" si="46"/>
        <v>12355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113230.78</v>
      </c>
      <c r="I581" s="18">
        <v>43866.03</v>
      </c>
      <c r="J581" s="18">
        <v>65799.039999999994</v>
      </c>
      <c r="K581" s="104">
        <f t="shared" ref="K581:K587" si="47">SUM(H581:J581)</f>
        <v>222895.84999999998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41517.15</v>
      </c>
      <c r="I582" s="18">
        <v>6509.24</v>
      </c>
      <c r="J582" s="18">
        <v>9763.86</v>
      </c>
      <c r="K582" s="104">
        <f t="shared" si="47"/>
        <v>57790.25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2340.1</v>
      </c>
      <c r="K583" s="104">
        <f t="shared" si="47"/>
        <v>2340.1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20249.400000000001</v>
      </c>
      <c r="J584" s="18">
        <v>36558.800000000003</v>
      </c>
      <c r="K584" s="104">
        <f t="shared" si="47"/>
        <v>56808.200000000004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7339</v>
      </c>
      <c r="I585" s="18">
        <v>1970</v>
      </c>
      <c r="J585" s="18">
        <v>248</v>
      </c>
      <c r="K585" s="104">
        <f t="shared" si="47"/>
        <v>9557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162086.93</v>
      </c>
      <c r="I588" s="108">
        <f>SUM(I581:I587)</f>
        <v>72594.67</v>
      </c>
      <c r="J588" s="108">
        <f>SUM(J581:J587)</f>
        <v>114709.8</v>
      </c>
      <c r="K588" s="108">
        <f>SUM(K581:K587)</f>
        <v>349391.39999999997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67329.94</v>
      </c>
      <c r="I594" s="18">
        <v>28701.88</v>
      </c>
      <c r="J594" s="18">
        <v>114661.27</v>
      </c>
      <c r="K594" s="104">
        <f>SUM(H594:J594)</f>
        <v>210693.09000000003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67329.94</v>
      </c>
      <c r="I595" s="108">
        <f>SUM(I592:I594)</f>
        <v>28701.88</v>
      </c>
      <c r="J595" s="108">
        <f>SUM(J592:J594)</f>
        <v>114661.27</v>
      </c>
      <c r="K595" s="108">
        <f>SUM(K592:K594)</f>
        <v>210693.09000000003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18750</v>
      </c>
      <c r="G601" s="18">
        <v>2729.19</v>
      </c>
      <c r="H601" s="18"/>
      <c r="I601" s="18"/>
      <c r="J601" s="18"/>
      <c r="K601" s="18"/>
      <c r="L601" s="88">
        <f>SUM(F601:K601)</f>
        <v>21479.19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2000</v>
      </c>
      <c r="G602" s="18">
        <v>302.8</v>
      </c>
      <c r="H602" s="18"/>
      <c r="I602" s="18"/>
      <c r="J602" s="18"/>
      <c r="K602" s="18"/>
      <c r="L602" s="88">
        <f>SUM(F602:K602)</f>
        <v>2302.8000000000002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0</v>
      </c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20750</v>
      </c>
      <c r="G604" s="108">
        <f t="shared" si="48"/>
        <v>3031.9900000000002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23781.989999999998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647104.92999999993</v>
      </c>
      <c r="H607" s="109">
        <f>SUM(F44)</f>
        <v>647104.92999999993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44775.22</v>
      </c>
      <c r="H608" s="109">
        <f>SUM(G44)</f>
        <v>44775.22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291180.58</v>
      </c>
      <c r="H609" s="109">
        <f>SUM(H44)</f>
        <v>291180.57999999996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3993298.95</v>
      </c>
      <c r="H610" s="109">
        <f>SUM(I44)</f>
        <v>3993298.95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381196.99</v>
      </c>
      <c r="H611" s="109">
        <f>SUM(J44)</f>
        <v>381196.99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509371.23</v>
      </c>
      <c r="H612" s="109">
        <f>F466</f>
        <v>509371.23000000231</v>
      </c>
      <c r="I612" s="121" t="s">
        <v>106</v>
      </c>
      <c r="J612" s="109">
        <f t="shared" ref="J612:J645" si="49">G612-H612</f>
        <v>-2.3283064365386963E-9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21517.96</v>
      </c>
      <c r="H613" s="109">
        <f>G466</f>
        <v>21517.959999999963</v>
      </c>
      <c r="I613" s="121" t="s">
        <v>108</v>
      </c>
      <c r="J613" s="109">
        <f t="shared" si="49"/>
        <v>3.637978807091713E-11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-0.15</v>
      </c>
      <c r="H614" s="109">
        <f>H466</f>
        <v>-0.15000000013969839</v>
      </c>
      <c r="I614" s="121" t="s">
        <v>110</v>
      </c>
      <c r="J614" s="109">
        <f t="shared" si="49"/>
        <v>1.396983917434369E-10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3893075.27</v>
      </c>
      <c r="H615" s="109">
        <f>I466</f>
        <v>3893075.2700000005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381196.99</v>
      </c>
      <c r="H616" s="109">
        <f>J466</f>
        <v>381196.99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14331814.210000001</v>
      </c>
      <c r="H617" s="104">
        <f>SUM(F458)</f>
        <v>14331814.210000001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385825.17</v>
      </c>
      <c r="H618" s="104">
        <f>SUM(G458)</f>
        <v>385825.17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1165781.6000000001</v>
      </c>
      <c r="H619" s="104">
        <f>SUM(H458)</f>
        <v>1165781.6000000001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4428852.87</v>
      </c>
      <c r="H620" s="104">
        <f>SUM(I458)</f>
        <v>4428852.87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166818.01</v>
      </c>
      <c r="H621" s="104">
        <f>SUM(J458)</f>
        <v>166818.01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14452756.379999999</v>
      </c>
      <c r="H622" s="104">
        <f>SUM(F462)</f>
        <v>14452756.379999999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1165781.6000000003</v>
      </c>
      <c r="H623" s="104">
        <f>SUM(H462)</f>
        <v>1165781.6000000003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129684.23000000001</v>
      </c>
      <c r="H624" s="104">
        <f>I361</f>
        <v>129684.23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401380.54000000004</v>
      </c>
      <c r="H625" s="104">
        <f>SUM(G462)</f>
        <v>401380.54000000004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548380.67000000004</v>
      </c>
      <c r="H626" s="104">
        <f>SUM(I462)</f>
        <v>548380.67000000004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166818.01</v>
      </c>
      <c r="H627" s="164">
        <f>SUM(J458)</f>
        <v>166818.01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381196.99</v>
      </c>
      <c r="H630" s="104">
        <f>SUM(G451)</f>
        <v>381196.99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381196.99</v>
      </c>
      <c r="H632" s="104">
        <f>SUM(I451)</f>
        <v>381196.99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166818.01</v>
      </c>
      <c r="H635" s="104">
        <f>G400</f>
        <v>166818.01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166818.01</v>
      </c>
      <c r="H636" s="104">
        <f>L400</f>
        <v>166818.01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349391.39999999997</v>
      </c>
      <c r="H637" s="104">
        <f>L200+L218+L236</f>
        <v>349391.39999999997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210693.09000000003</v>
      </c>
      <c r="H638" s="104">
        <f>(J249+J330)-(J247+J328)</f>
        <v>210693.09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162086.93</v>
      </c>
      <c r="H639" s="104">
        <f>H588</f>
        <v>162086.93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72594.67</v>
      </c>
      <c r="H640" s="104">
        <f>I588</f>
        <v>72594.67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114709.8</v>
      </c>
      <c r="H641" s="104">
        <f>J588</f>
        <v>114709.8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268156.99</v>
      </c>
      <c r="H644" s="104">
        <f>K257+K338</f>
        <v>268156.99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166818.01</v>
      </c>
      <c r="H645" s="104">
        <f>K258+K339</f>
        <v>166818.01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7107126.4100000001</v>
      </c>
      <c r="G650" s="19">
        <f>(L221+L301+L351)</f>
        <v>2195866.4000000004</v>
      </c>
      <c r="H650" s="19">
        <f>(L239+L320+L352)</f>
        <v>5781418.9999999981</v>
      </c>
      <c r="I650" s="19">
        <f>SUM(F650:H650)</f>
        <v>15084411.809999999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94343.003876329414</v>
      </c>
      <c r="G651" s="19">
        <f>(L351/IF(SUM(L350:L352)=0,1,SUM(L350:L352))*(SUM(G89:G102)))</f>
        <v>0</v>
      </c>
      <c r="H651" s="19">
        <f>(L352/IF(SUM(L350:L352)=0,1,SUM(L350:L352))*(SUM(G89:G102)))</f>
        <v>95811.15612367056</v>
      </c>
      <c r="I651" s="19">
        <f>SUM(F651:H651)</f>
        <v>190154.15999999997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162086.93</v>
      </c>
      <c r="G652" s="19">
        <f>(L218+L298)-(J218+J298)</f>
        <v>72594.67</v>
      </c>
      <c r="H652" s="19">
        <f>(L236+L317)-(J236+J317)</f>
        <v>114709.8</v>
      </c>
      <c r="I652" s="19">
        <f>SUM(F652:H652)</f>
        <v>349391.39999999997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214964.97</v>
      </c>
      <c r="G653" s="200">
        <f>SUM(G565:G577)+SUM(I592:I594)+L602</f>
        <v>31004.68</v>
      </c>
      <c r="H653" s="200">
        <f>SUM(H565:H577)+SUM(J592:J594)+L603</f>
        <v>630252.63</v>
      </c>
      <c r="I653" s="19">
        <f>SUM(F653:H653)</f>
        <v>876222.28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6635731.5061236704</v>
      </c>
      <c r="G654" s="19">
        <f>G650-SUM(G651:G653)</f>
        <v>2092267.0500000003</v>
      </c>
      <c r="H654" s="19">
        <f>H650-SUM(H651:H653)</f>
        <v>4940645.4138763277</v>
      </c>
      <c r="I654" s="19">
        <f>I650-SUM(I651:I653)</f>
        <v>13668643.969999999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427.92</v>
      </c>
      <c r="G655" s="249">
        <v>150.47</v>
      </c>
      <c r="H655" s="249">
        <v>260.24</v>
      </c>
      <c r="I655" s="19">
        <f>SUM(F655:H655)</f>
        <v>838.63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15506.94</v>
      </c>
      <c r="G657" s="19">
        <f>ROUND(G654/G655,2)</f>
        <v>13904.88</v>
      </c>
      <c r="H657" s="19">
        <f>ROUND(H654/H655,2)</f>
        <v>18984.96</v>
      </c>
      <c r="I657" s="19">
        <f>ROUND(I654/I655,2)</f>
        <v>16298.78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21.3</v>
      </c>
      <c r="I660" s="19">
        <f>SUM(F660:H660)</f>
        <v>21.3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15506.94</v>
      </c>
      <c r="G662" s="19">
        <f>ROUND((G654+G659)/(G655+G660),2)</f>
        <v>13904.88</v>
      </c>
      <c r="H662" s="19">
        <f>ROUND((H654+H659)/(H655+H660),2)</f>
        <v>17548.64</v>
      </c>
      <c r="I662" s="19">
        <f>ROUND((I654+I659)/(I655+I660),2)</f>
        <v>15895.07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86E7-7F45-4977-8BA3-299EF1A2380B}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Littleton SD</v>
      </c>
      <c r="C1" s="239" t="s">
        <v>873</v>
      </c>
    </row>
    <row r="2" spans="1:3" x14ac:dyDescent="0.2">
      <c r="A2" s="234"/>
      <c r="B2" s="233"/>
    </row>
    <row r="3" spans="1:3" x14ac:dyDescent="0.2">
      <c r="A3" s="273" t="s">
        <v>818</v>
      </c>
      <c r="B3" s="273"/>
      <c r="C3" s="273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5" t="s">
        <v>816</v>
      </c>
      <c r="C7" s="276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3674368.6699999995</v>
      </c>
      <c r="C9" s="230">
        <f>'DOE25'!G189+'DOE25'!G207+'DOE25'!G225+'DOE25'!G268+'DOE25'!G287+'DOE25'!G306</f>
        <v>1441951.23</v>
      </c>
    </row>
    <row r="10" spans="1:3" x14ac:dyDescent="0.2">
      <c r="A10" t="s">
        <v>813</v>
      </c>
      <c r="B10" s="241">
        <f>3209237.54+251709.82+4951.05+7427</f>
        <v>3473325.4099999997</v>
      </c>
      <c r="C10" s="241">
        <v>1363054.8</v>
      </c>
    </row>
    <row r="11" spans="1:3" x14ac:dyDescent="0.2">
      <c r="A11" t="s">
        <v>814</v>
      </c>
      <c r="B11" s="241">
        <v>147965.51</v>
      </c>
      <c r="C11" s="241">
        <v>58066.86</v>
      </c>
    </row>
    <row r="12" spans="1:3" x14ac:dyDescent="0.2">
      <c r="A12" t="s">
        <v>815</v>
      </c>
      <c r="B12" s="241">
        <f>53045.25+32.5</f>
        <v>53077.75</v>
      </c>
      <c r="C12" s="241">
        <v>20829.569999999832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3674368.67</v>
      </c>
      <c r="C13" s="232">
        <f>SUM(C10:C12)</f>
        <v>1441951.23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5" t="s">
        <v>738</v>
      </c>
      <c r="C16" s="276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1513664.0899999999</v>
      </c>
      <c r="C18" s="230">
        <f>'DOE25'!G190+'DOE25'!G208+'DOE25'!G226+'DOE25'!G269+'DOE25'!G288+'DOE25'!G307</f>
        <v>674610.57000000007</v>
      </c>
    </row>
    <row r="19" spans="1:3" x14ac:dyDescent="0.2">
      <c r="A19" t="s">
        <v>813</v>
      </c>
      <c r="B19" s="241">
        <v>758375.3</v>
      </c>
      <c r="C19" s="241">
        <v>337993.08</v>
      </c>
    </row>
    <row r="20" spans="1:3" x14ac:dyDescent="0.2">
      <c r="A20" t="s">
        <v>814</v>
      </c>
      <c r="B20" s="241">
        <v>679345.9</v>
      </c>
      <c r="C20" s="241">
        <v>302771.21999999997</v>
      </c>
    </row>
    <row r="21" spans="1:3" x14ac:dyDescent="0.2">
      <c r="A21" t="s">
        <v>815</v>
      </c>
      <c r="B21" s="241">
        <v>75942.89</v>
      </c>
      <c r="C21" s="241">
        <v>33846.269999999997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1513664.09</v>
      </c>
      <c r="C22" s="232">
        <f>SUM(C19:C21)</f>
        <v>674610.57000000007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5" t="s">
        <v>739</v>
      </c>
      <c r="C25" s="276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700218.47</v>
      </c>
      <c r="C27" s="235">
        <f>'DOE25'!G191+'DOE25'!G209+'DOE25'!G227+'DOE25'!G270+'DOE25'!G289+'DOE25'!G308</f>
        <v>240731.87</v>
      </c>
    </row>
    <row r="28" spans="1:3" x14ac:dyDescent="0.2">
      <c r="A28" t="s">
        <v>813</v>
      </c>
      <c r="B28" s="241">
        <v>663629.80000000005</v>
      </c>
      <c r="C28" s="241">
        <v>228152.85</v>
      </c>
    </row>
    <row r="29" spans="1:3" x14ac:dyDescent="0.2">
      <c r="A29" t="s">
        <v>814</v>
      </c>
      <c r="B29" s="241">
        <v>36088.67</v>
      </c>
      <c r="C29" s="241">
        <v>12407.12</v>
      </c>
    </row>
    <row r="30" spans="1:3" x14ac:dyDescent="0.2">
      <c r="A30" t="s">
        <v>815</v>
      </c>
      <c r="B30" s="241">
        <v>500</v>
      </c>
      <c r="C30" s="241">
        <v>171.9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700218.47000000009</v>
      </c>
      <c r="C31" s="232">
        <f>SUM(C28:C30)</f>
        <v>240731.87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5" t="s">
        <v>740</v>
      </c>
      <c r="C34" s="276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135190</v>
      </c>
      <c r="C36" s="236">
        <f>'DOE25'!G192+'DOE25'!G210+'DOE25'!G228+'DOE25'!G271+'DOE25'!G290+'DOE25'!G309</f>
        <v>17256.14</v>
      </c>
    </row>
    <row r="37" spans="1:3" x14ac:dyDescent="0.2">
      <c r="A37" t="s">
        <v>813</v>
      </c>
      <c r="B37" s="241">
        <v>0</v>
      </c>
      <c r="C37" s="241">
        <v>0</v>
      </c>
    </row>
    <row r="38" spans="1:3" x14ac:dyDescent="0.2">
      <c r="A38" t="s">
        <v>814</v>
      </c>
      <c r="B38" s="241">
        <v>0</v>
      </c>
      <c r="C38" s="241">
        <v>0</v>
      </c>
    </row>
    <row r="39" spans="1:3" x14ac:dyDescent="0.2">
      <c r="A39" t="s">
        <v>815</v>
      </c>
      <c r="B39" s="241">
        <v>135190</v>
      </c>
      <c r="C39" s="241">
        <v>17256.14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135190</v>
      </c>
      <c r="C40" s="232">
        <f>SUM(C37:C39)</f>
        <v>17256.14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644C-EB87-4C7F-BF66-EB54AC69DCF3}">
  <sheetPr>
    <tabColor indexed="11"/>
  </sheetPr>
  <dimension ref="A1:I51"/>
  <sheetViews>
    <sheetView workbookViewId="0">
      <selection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748</v>
      </c>
      <c r="B2" s="266" t="str">
        <f>'DOE25'!A2</f>
        <v>Littleton SD</v>
      </c>
      <c r="C2" s="181"/>
      <c r="D2" s="181" t="s">
        <v>826</v>
      </c>
      <c r="E2" s="181" t="s">
        <v>828</v>
      </c>
      <c r="F2" s="277" t="s">
        <v>855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8911702.9199999981</v>
      </c>
      <c r="D5" s="20">
        <f>SUM('DOE25'!L189:L192)+SUM('DOE25'!L207:L210)+SUM('DOE25'!L225:L228)-F5-G5</f>
        <v>8816520.5699999984</v>
      </c>
      <c r="E5" s="244"/>
      <c r="F5" s="256">
        <f>SUM('DOE25'!J189:J192)+SUM('DOE25'!J207:J210)+SUM('DOE25'!J225:J228)</f>
        <v>64888.520000000004</v>
      </c>
      <c r="G5" s="53">
        <f>SUM('DOE25'!K189:K192)+SUM('DOE25'!K207:K210)+SUM('DOE25'!K225:K228)</f>
        <v>30293.829999999998</v>
      </c>
      <c r="H5" s="260"/>
    </row>
    <row r="6" spans="1:9" x14ac:dyDescent="0.2">
      <c r="A6" s="32">
        <v>2100</v>
      </c>
      <c r="B6" t="s">
        <v>835</v>
      </c>
      <c r="C6" s="246">
        <f t="shared" si="0"/>
        <v>767006.16</v>
      </c>
      <c r="D6" s="20">
        <f>'DOE25'!L194+'DOE25'!L212+'DOE25'!L230-F6-G6</f>
        <v>757877.11</v>
      </c>
      <c r="E6" s="244"/>
      <c r="F6" s="256">
        <f>'DOE25'!J194+'DOE25'!J212+'DOE25'!J230</f>
        <v>3014.5499999999997</v>
      </c>
      <c r="G6" s="53">
        <f>'DOE25'!K194+'DOE25'!K212+'DOE25'!K230</f>
        <v>6114.5</v>
      </c>
      <c r="H6" s="260"/>
    </row>
    <row r="7" spans="1:9" x14ac:dyDescent="0.2">
      <c r="A7" s="32">
        <v>2200</v>
      </c>
      <c r="B7" t="s">
        <v>868</v>
      </c>
      <c r="C7" s="246">
        <f t="shared" si="0"/>
        <v>283095.42</v>
      </c>
      <c r="D7" s="20">
        <f>'DOE25'!L195+'DOE25'!L213+'DOE25'!L231-F7-G7</f>
        <v>270840.61</v>
      </c>
      <c r="E7" s="244"/>
      <c r="F7" s="256">
        <f>'DOE25'!J195+'DOE25'!J213+'DOE25'!J231</f>
        <v>470.32</v>
      </c>
      <c r="G7" s="53">
        <f>'DOE25'!K195+'DOE25'!K213+'DOE25'!K231</f>
        <v>11784.490000000002</v>
      </c>
      <c r="H7" s="260"/>
    </row>
    <row r="8" spans="1:9" x14ac:dyDescent="0.2">
      <c r="A8" s="32">
        <v>2300</v>
      </c>
      <c r="B8" t="s">
        <v>836</v>
      </c>
      <c r="C8" s="246">
        <f t="shared" si="0"/>
        <v>254520.11999999997</v>
      </c>
      <c r="D8" s="244"/>
      <c r="E8" s="20">
        <f>'DOE25'!L196+'DOE25'!L214+'DOE25'!L232-F8-G8-D9-D11</f>
        <v>247308.23999999996</v>
      </c>
      <c r="F8" s="256">
        <f>'DOE25'!J196+'DOE25'!J214+'DOE25'!J232</f>
        <v>1775.01</v>
      </c>
      <c r="G8" s="53">
        <f>'DOE25'!K196+'DOE25'!K214+'DOE25'!K232</f>
        <v>5436.87</v>
      </c>
      <c r="H8" s="260"/>
    </row>
    <row r="9" spans="1:9" x14ac:dyDescent="0.2">
      <c r="A9" s="32">
        <v>2310</v>
      </c>
      <c r="B9" t="s">
        <v>852</v>
      </c>
      <c r="C9" s="246">
        <f t="shared" si="0"/>
        <v>95319.450000000012</v>
      </c>
      <c r="D9" s="245">
        <f>10531.75+6662.85+1200+550+10267.9+4906.91+8769+52431.04</f>
        <v>95319.450000000012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8769</v>
      </c>
      <c r="D10" s="244"/>
      <c r="E10" s="245">
        <v>8769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188256.41</v>
      </c>
      <c r="D11" s="245">
        <f>145712.9+17368.21+788.96+362.1+10486.48+12664.91+220.1+652.75</f>
        <v>188256.41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938572.33000000007</v>
      </c>
      <c r="D12" s="20">
        <f>'DOE25'!L197+'DOE25'!L215+'DOE25'!L233-F12-G12</f>
        <v>923849.71000000008</v>
      </c>
      <c r="E12" s="244"/>
      <c r="F12" s="256">
        <f>'DOE25'!J197+'DOE25'!J215+'DOE25'!J233</f>
        <v>4543.13</v>
      </c>
      <c r="G12" s="53">
        <f>'DOE25'!K197+'DOE25'!K215+'DOE25'!K233</f>
        <v>10179.49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167291.34</v>
      </c>
      <c r="D13" s="244"/>
      <c r="E13" s="20">
        <f>'DOE25'!L198+'DOE25'!L216+'DOE25'!L234-F13-G13</f>
        <v>167081.34</v>
      </c>
      <c r="F13" s="256">
        <f>'DOE25'!J198+'DOE25'!J216+'DOE25'!J234</f>
        <v>0</v>
      </c>
      <c r="G13" s="53">
        <f>'DOE25'!K198+'DOE25'!K216+'DOE25'!K234</f>
        <v>210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1244996.08</v>
      </c>
      <c r="D14" s="20">
        <f>'DOE25'!L199+'DOE25'!L217+'DOE25'!L235-F14-G14</f>
        <v>1230574.2700000003</v>
      </c>
      <c r="E14" s="244"/>
      <c r="F14" s="256">
        <f>'DOE25'!J199+'DOE25'!J217+'DOE25'!J235</f>
        <v>12954.400000000001</v>
      </c>
      <c r="G14" s="53">
        <f>'DOE25'!K199+'DOE25'!K217+'DOE25'!K235</f>
        <v>1467.41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349391.39999999997</v>
      </c>
      <c r="D15" s="20">
        <f>'DOE25'!L200+'DOE25'!L218+'DOE25'!L236-F15-G15</f>
        <v>349391.39999999997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348729.75</v>
      </c>
      <c r="D16" s="244"/>
      <c r="E16" s="20">
        <f>'DOE25'!L201+'DOE25'!L219+'DOE25'!L237-F16-G16</f>
        <v>229960.13999999998</v>
      </c>
      <c r="F16" s="256">
        <f>'DOE25'!J201+'DOE25'!J219+'DOE25'!J237</f>
        <v>74283.200000000012</v>
      </c>
      <c r="G16" s="53">
        <f>'DOE25'!K201+'DOE25'!K219+'DOE25'!K237</f>
        <v>44486.41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468900</v>
      </c>
      <c r="D25" s="244"/>
      <c r="E25" s="244"/>
      <c r="F25" s="259"/>
      <c r="G25" s="257"/>
      <c r="H25" s="258">
        <f>'DOE25'!L252+'DOE25'!L253+'DOE25'!L333+'DOE25'!L334</f>
        <v>468900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285153.76</v>
      </c>
      <c r="D29" s="20">
        <f>'DOE25'!L350+'DOE25'!L351+'DOE25'!L352-'DOE25'!I359-F29-G29</f>
        <v>285051.51</v>
      </c>
      <c r="E29" s="244"/>
      <c r="F29" s="256">
        <f>'DOE25'!J350+'DOE25'!J351+'DOE25'!J352</f>
        <v>0</v>
      </c>
      <c r="G29" s="53">
        <f>'DOE25'!K350+'DOE25'!K351+'DOE25'!K352</f>
        <v>102.25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1165781.6000000003</v>
      </c>
      <c r="D31" s="20">
        <f>'DOE25'!L282+'DOE25'!L301+'DOE25'!L320+'DOE25'!L325+'DOE25'!L326+'DOE25'!L327-F31-G31</f>
        <v>1117017.6400000004</v>
      </c>
      <c r="E31" s="244"/>
      <c r="F31" s="256">
        <f>'DOE25'!J282+'DOE25'!J301+'DOE25'!J320+'DOE25'!J325+'DOE25'!J326+'DOE25'!J327</f>
        <v>48763.96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14034698.679999998</v>
      </c>
      <c r="E33" s="247">
        <f>SUM(E5:E31)</f>
        <v>653118.71999999997</v>
      </c>
      <c r="F33" s="247">
        <f>SUM(F5:F31)</f>
        <v>210693.09000000003</v>
      </c>
      <c r="G33" s="247">
        <f>SUM(G5:G31)</f>
        <v>110075.25000000001</v>
      </c>
      <c r="H33" s="247">
        <f>SUM(H5:H31)</f>
        <v>468900</v>
      </c>
    </row>
    <row r="35" spans="2:8" ht="12" thickBot="1" x14ac:dyDescent="0.25">
      <c r="B35" s="254" t="s">
        <v>881</v>
      </c>
      <c r="D35" s="255">
        <f>E33</f>
        <v>653118.71999999997</v>
      </c>
      <c r="E35" s="250"/>
    </row>
    <row r="36" spans="2:8" ht="12" thickTop="1" x14ac:dyDescent="0.2">
      <c r="B36" t="s">
        <v>849</v>
      </c>
      <c r="D36" s="20">
        <f>D33</f>
        <v>14034698.679999998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689-419B-4BE1-AFA7-0B6E25C09B9C}">
  <sheetPr transitionEvaluation="1" codeName="Sheet2">
    <tabColor indexed="10"/>
  </sheetPr>
  <dimension ref="A1:I156"/>
  <sheetViews>
    <sheetView workbookViewId="0"/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Littleton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162118.65</v>
      </c>
      <c r="D9" s="95">
        <f>'DOE25'!G9</f>
        <v>0</v>
      </c>
      <c r="E9" s="95">
        <f>'DOE25'!H9</f>
        <v>0</v>
      </c>
      <c r="F9" s="95">
        <f>'DOE25'!I9</f>
        <v>12635.85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123071.1</v>
      </c>
      <c r="D10" s="95">
        <f>'DOE25'!G10</f>
        <v>0</v>
      </c>
      <c r="E10" s="95">
        <f>'DOE25'!H10</f>
        <v>0</v>
      </c>
      <c r="F10" s="95">
        <f>'DOE25'!I10</f>
        <v>3980663.1</v>
      </c>
      <c r="G10" s="95">
        <f>'DOE25'!J10</f>
        <v>381196.99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191971.8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73146.039999999994</v>
      </c>
      <c r="D13" s="95">
        <f>'DOE25'!G13</f>
        <v>32768.1</v>
      </c>
      <c r="E13" s="95">
        <f>'DOE25'!H13</f>
        <v>291180.58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96797.34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12007.12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647104.92999999993</v>
      </c>
      <c r="D19" s="41">
        <f>SUM(D9:D18)</f>
        <v>44775.22</v>
      </c>
      <c r="E19" s="41">
        <f>SUM(E9:E18)</f>
        <v>291180.58</v>
      </c>
      <c r="F19" s="41">
        <f>SUM(F9:F18)</f>
        <v>3993298.95</v>
      </c>
      <c r="G19" s="41">
        <f>SUM(G9:G18)</f>
        <v>381196.99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19394.78</v>
      </c>
      <c r="E22" s="95">
        <f>'DOE25'!H23</f>
        <v>277399.37</v>
      </c>
      <c r="F22" s="95">
        <f>'DOE25'!I23</f>
        <v>8983.6000000000349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139370.92000000001</v>
      </c>
      <c r="D24" s="95">
        <f>'DOE25'!G25</f>
        <v>121.01</v>
      </c>
      <c r="E24" s="95">
        <f>'DOE25'!H25</f>
        <v>13781.36</v>
      </c>
      <c r="F24" s="95">
        <f>'DOE25'!I25</f>
        <v>90465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-69.430000000000007</v>
      </c>
      <c r="D28" s="95">
        <f>'DOE25'!G29</f>
        <v>0</v>
      </c>
      <c r="E28" s="95">
        <f>'DOE25'!H29</f>
        <v>0</v>
      </c>
      <c r="F28" s="95">
        <f>'DOE25'!I29</f>
        <v>775.08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-1567.79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3741.47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137733.70000000001</v>
      </c>
      <c r="D32" s="41">
        <f>SUM(D22:D31)</f>
        <v>23257.26</v>
      </c>
      <c r="E32" s="41">
        <f>SUM(E22:E31)</f>
        <v>291180.73</v>
      </c>
      <c r="F32" s="41">
        <f>SUM(F22:F31)</f>
        <v>100223.68000000004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12007.12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148220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3880472.2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33598</v>
      </c>
      <c r="D40" s="95">
        <f>'DOE25'!G41</f>
        <v>9510.84</v>
      </c>
      <c r="E40" s="95">
        <f>'DOE25'!H41</f>
        <v>-0.15</v>
      </c>
      <c r="F40" s="95">
        <f>'DOE25'!I41</f>
        <v>12603.07</v>
      </c>
      <c r="G40" s="95">
        <f>'DOE25'!J41</f>
        <v>381196.99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277553.23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509371.23</v>
      </c>
      <c r="D42" s="41">
        <f>SUM(D34:D41)</f>
        <v>21517.96</v>
      </c>
      <c r="E42" s="41">
        <f>SUM(E34:E41)</f>
        <v>-0.15</v>
      </c>
      <c r="F42" s="41">
        <f>SUM(F34:F41)</f>
        <v>3893075.27</v>
      </c>
      <c r="G42" s="41">
        <f>SUM(G34:G41)</f>
        <v>381196.99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647104.92999999993</v>
      </c>
      <c r="D43" s="41">
        <f>D42+D32</f>
        <v>44775.22</v>
      </c>
      <c r="E43" s="41">
        <f>E42+E32</f>
        <v>291180.57999999996</v>
      </c>
      <c r="F43" s="41">
        <f>F42+F32</f>
        <v>3993298.95</v>
      </c>
      <c r="G43" s="41">
        <f>G42+G32</f>
        <v>381196.99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8393181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95610.82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6031.46</v>
      </c>
      <c r="D51" s="95">
        <f>'DOE25'!G88</f>
        <v>0</v>
      </c>
      <c r="E51" s="95">
        <f>'DOE25'!H88</f>
        <v>0</v>
      </c>
      <c r="F51" s="95">
        <f>'DOE25'!I88</f>
        <v>55.88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190154.16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84264.35</v>
      </c>
      <c r="D53" s="95">
        <f>SUM('DOE25'!G90:G102)</f>
        <v>0</v>
      </c>
      <c r="E53" s="95">
        <f>SUM('DOE25'!H90:H102)</f>
        <v>5950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185906.63</v>
      </c>
      <c r="D54" s="130">
        <f>SUM(D49:D53)</f>
        <v>190154.16</v>
      </c>
      <c r="E54" s="130">
        <f>SUM(E49:E53)</f>
        <v>5950</v>
      </c>
      <c r="F54" s="130">
        <f>SUM(F49:F53)</f>
        <v>55.88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8579087.6300000008</v>
      </c>
      <c r="D55" s="22">
        <f>D48+D54</f>
        <v>190154.16</v>
      </c>
      <c r="E55" s="22">
        <f>E48+E54</f>
        <v>5950</v>
      </c>
      <c r="F55" s="22">
        <f>F48+F54</f>
        <v>55.88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2777289.13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1318960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1065559.8700000001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5161809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91806.96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64188.41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297317.82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4200</v>
      </c>
      <c r="D69" s="95">
        <f>SUM('DOE25'!G123:G127)</f>
        <v>21835.9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457513.19</v>
      </c>
      <c r="D70" s="130">
        <f>SUM(D64:D69)</f>
        <v>21835.9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5619322.1900000004</v>
      </c>
      <c r="D73" s="130">
        <f>SUM(D71:D72)+D70+D62</f>
        <v>21835.9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131420.57</v>
      </c>
      <c r="D80" s="95">
        <f>SUM('DOE25'!G145:G153)</f>
        <v>173835.11</v>
      </c>
      <c r="E80" s="95">
        <f>SUM('DOE25'!H145:H153)</f>
        <v>1159831.6000000001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1983.82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133404.39000000001</v>
      </c>
      <c r="D83" s="131">
        <f>SUM(D77:D82)</f>
        <v>173835.11</v>
      </c>
      <c r="E83" s="131">
        <f>SUM(E77:E82)</f>
        <v>1159831.6000000001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4160640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268156.99</v>
      </c>
      <c r="G88" s="95">
        <f>'DOE25'!J171</f>
        <v>166818.01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4428796.99</v>
      </c>
      <c r="G95" s="86">
        <f>SUM(G85:G94)</f>
        <v>166818.01</v>
      </c>
    </row>
    <row r="96" spans="1:7" ht="12.75" thickTop="1" thickBot="1" x14ac:dyDescent="0.25">
      <c r="A96" s="33" t="s">
        <v>797</v>
      </c>
      <c r="C96" s="86">
        <f>C55+C73+C83+C95</f>
        <v>14331814.210000001</v>
      </c>
      <c r="D96" s="86">
        <f>D55+D73+D83+D95</f>
        <v>385825.17</v>
      </c>
      <c r="E96" s="86">
        <f>E55+E73+E83+E95</f>
        <v>1165781.6000000001</v>
      </c>
      <c r="F96" s="86">
        <f>F55+F73+F83+F95</f>
        <v>4428852.87</v>
      </c>
      <c r="G96" s="86">
        <f>G55+G73+G95</f>
        <v>166818.01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4946011.25</v>
      </c>
      <c r="D101" s="24" t="s">
        <v>312</v>
      </c>
      <c r="E101" s="95">
        <f>('DOE25'!L268)+('DOE25'!L287)+('DOE25'!L306)</f>
        <v>627695.01000000013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2706315.17</v>
      </c>
      <c r="D102" s="24" t="s">
        <v>312</v>
      </c>
      <c r="E102" s="95">
        <f>('DOE25'!L269)+('DOE25'!L288)+('DOE25'!L307)</f>
        <v>337967.73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1038674.2299999999</v>
      </c>
      <c r="D103" s="24" t="s">
        <v>312</v>
      </c>
      <c r="E103" s="95">
        <f>('DOE25'!L270)+('DOE25'!L289)+('DOE25'!L308)</f>
        <v>76289.600000000006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220702.27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31631.71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8911702.9199999999</v>
      </c>
      <c r="D107" s="86">
        <f>SUM(D101:D106)</f>
        <v>0</v>
      </c>
      <c r="E107" s="86">
        <f>SUM(E101:E106)</f>
        <v>1073584.05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767006.16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283095.42</v>
      </c>
      <c r="D111" s="24" t="s">
        <v>312</v>
      </c>
      <c r="E111" s="95">
        <f>+('DOE25'!L274)+('DOE25'!L293)+('DOE25'!L312)</f>
        <v>77851.08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538095.98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938572.33000000007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167291.34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1244996.08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349391.39999999997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348729.75</v>
      </c>
      <c r="D117" s="24" t="s">
        <v>312</v>
      </c>
      <c r="E117" s="95">
        <f>+('DOE25'!L280)+('DOE25'!L299)+('DOE25'!L318)</f>
        <v>14346.470000000001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401380.54000000004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4637178.46</v>
      </c>
      <c r="D120" s="86">
        <f>SUM(D110:D119)</f>
        <v>401380.54000000004</v>
      </c>
      <c r="E120" s="86">
        <f>SUM(E110:E119)</f>
        <v>92197.55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548380.67000000004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168900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268156.99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166818.01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903875</v>
      </c>
      <c r="D136" s="141">
        <f>SUM(D122:D135)</f>
        <v>0</v>
      </c>
      <c r="E136" s="141">
        <f>SUM(E122:E135)</f>
        <v>0</v>
      </c>
      <c r="F136" s="141">
        <f>SUM(F122:F135)</f>
        <v>548380.67000000004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14452756.379999999</v>
      </c>
      <c r="D137" s="86">
        <f>(D107+D120+D136)</f>
        <v>401380.54000000004</v>
      </c>
      <c r="E137" s="86">
        <f>(E107+E120+E136)</f>
        <v>1165781.6000000001</v>
      </c>
      <c r="F137" s="86">
        <f>(F107+F120+F136)</f>
        <v>548380.67000000004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17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08/02</v>
      </c>
      <c r="C144" s="152" t="str">
        <f>'DOE25'!G481</f>
        <v>06/10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08/22</v>
      </c>
      <c r="C145" s="152" t="str">
        <f>'DOE25'!G482</f>
        <v>03/27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6000000</v>
      </c>
      <c r="C146" s="137">
        <f>'DOE25'!G483</f>
        <v>4160640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4.1900000000000004</v>
      </c>
      <c r="C147" s="137">
        <f>'DOE25'!G484</f>
        <v>5.39</v>
      </c>
      <c r="D147" s="137" t="str">
        <f>'DOE25'!H484</f>
        <v>before Fed reimbursement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4200000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4200000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4160640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4160640</v>
      </c>
    </row>
    <row r="150" spans="1:7" x14ac:dyDescent="0.2">
      <c r="A150" s="22" t="s">
        <v>34</v>
      </c>
      <c r="B150" s="137">
        <f>'DOE25'!F487</f>
        <v>300000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300000</v>
      </c>
    </row>
    <row r="151" spans="1:7" x14ac:dyDescent="0.2">
      <c r="A151" s="22" t="s">
        <v>35</v>
      </c>
      <c r="B151" s="137">
        <f>'DOE25'!F488</f>
        <v>3900000</v>
      </c>
      <c r="C151" s="137">
        <f>'DOE25'!G488</f>
        <v>4160640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8060640</v>
      </c>
    </row>
    <row r="152" spans="1:7" x14ac:dyDescent="0.2">
      <c r="A152" s="22" t="s">
        <v>36</v>
      </c>
      <c r="B152" s="137">
        <f>'DOE25'!F489</f>
        <v>1118925</v>
      </c>
      <c r="C152" s="137">
        <f>'DOE25'!G489</f>
        <v>1953281.96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3072206.96</v>
      </c>
    </row>
    <row r="153" spans="1:7" x14ac:dyDescent="0.2">
      <c r="A153" s="22" t="s">
        <v>37</v>
      </c>
      <c r="B153" s="137">
        <f>'DOE25'!F490</f>
        <v>5018925</v>
      </c>
      <c r="C153" s="137">
        <f>'DOE25'!G490</f>
        <v>6113921.96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11132846.960000001</v>
      </c>
    </row>
    <row r="154" spans="1:7" x14ac:dyDescent="0.2">
      <c r="A154" s="22" t="s">
        <v>38</v>
      </c>
      <c r="B154" s="137">
        <f>'DOE25'!F491</f>
        <v>300000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300000</v>
      </c>
    </row>
    <row r="155" spans="1:7" x14ac:dyDescent="0.2">
      <c r="A155" s="22" t="s">
        <v>39</v>
      </c>
      <c r="B155" s="137">
        <f>'DOE25'!F492</f>
        <v>158400</v>
      </c>
      <c r="C155" s="137">
        <f>'DOE25'!G492</f>
        <v>159472.71</v>
      </c>
      <c r="D155" s="137" t="str">
        <f>'DOE25'!H492</f>
        <v>gross</v>
      </c>
      <c r="E155" s="137">
        <f>'DOE25'!I492</f>
        <v>0</v>
      </c>
      <c r="F155" s="137">
        <f>'DOE25'!J492</f>
        <v>0</v>
      </c>
      <c r="G155" s="138">
        <f t="shared" si="0"/>
        <v>317872.70999999996</v>
      </c>
    </row>
    <row r="156" spans="1:7" x14ac:dyDescent="0.2">
      <c r="A156" s="22" t="s">
        <v>269</v>
      </c>
      <c r="B156" s="137">
        <f>'DOE25'!F493</f>
        <v>458400</v>
      </c>
      <c r="C156" s="137">
        <f>'DOE25'!G493</f>
        <v>159472.71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617872.71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9622-042B-401C-B9F3-A68E168D85BD}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772</v>
      </c>
      <c r="B1" s="281"/>
      <c r="C1" s="281"/>
      <c r="D1" s="281"/>
    </row>
    <row r="2" spans="1:4" x14ac:dyDescent="0.2">
      <c r="A2" s="187" t="s">
        <v>748</v>
      </c>
      <c r="B2" s="186" t="str">
        <f>'DOE25'!A2</f>
        <v>Littleton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15507</v>
      </c>
    </row>
    <row r="5" spans="1:4" x14ac:dyDescent="0.2">
      <c r="B5" t="s">
        <v>735</v>
      </c>
      <c r="C5" s="179">
        <f>IF('DOE25'!G655+'DOE25'!G660=0,0,ROUND('DOE25'!G662,0))</f>
        <v>13905</v>
      </c>
    </row>
    <row r="6" spans="1:4" x14ac:dyDescent="0.2">
      <c r="B6" t="s">
        <v>62</v>
      </c>
      <c r="C6" s="179">
        <f>IF('DOE25'!H655+'DOE25'!H660=0,0,ROUND('DOE25'!H662,0))</f>
        <v>17549</v>
      </c>
    </row>
    <row r="7" spans="1:4" x14ac:dyDescent="0.2">
      <c r="B7" t="s">
        <v>736</v>
      </c>
      <c r="C7" s="179">
        <f>IF('DOE25'!I655+'DOE25'!I660=0,0,ROUND('DOE25'!I662,0))</f>
        <v>15895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5573706</v>
      </c>
      <c r="D10" s="182">
        <f>ROUND((C10/$C$28)*100,1)</f>
        <v>36.9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3044283</v>
      </c>
      <c r="D11" s="182">
        <f>ROUND((C11/$C$28)*100,1)</f>
        <v>20.2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1114964</v>
      </c>
      <c r="D12" s="182">
        <f>ROUND((C12/$C$28)*100,1)</f>
        <v>7.4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220702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767006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360947</v>
      </c>
      <c r="D16" s="182">
        <f t="shared" si="0"/>
        <v>2.4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901172</v>
      </c>
      <c r="D17" s="182">
        <f t="shared" si="0"/>
        <v>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938572</v>
      </c>
      <c r="D18" s="182">
        <f t="shared" si="0"/>
        <v>6.2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167291</v>
      </c>
      <c r="D19" s="182">
        <f t="shared" si="0"/>
        <v>1.1000000000000001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1244996</v>
      </c>
      <c r="D20" s="182">
        <f t="shared" si="0"/>
        <v>8.1999999999999993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349391</v>
      </c>
      <c r="D21" s="182">
        <f t="shared" si="0"/>
        <v>2.2999999999999998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31632</v>
      </c>
      <c r="D24" s="182">
        <f t="shared" si="0"/>
        <v>0.2</v>
      </c>
    </row>
    <row r="25" spans="1:4" x14ac:dyDescent="0.2">
      <c r="A25">
        <v>5120</v>
      </c>
      <c r="B25" t="s">
        <v>751</v>
      </c>
      <c r="C25" s="179">
        <f>ROUND('DOE25'!L253+'DOE25'!L334,0)</f>
        <v>168900</v>
      </c>
      <c r="D25" s="182">
        <f t="shared" si="0"/>
        <v>1.1000000000000001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211226.84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15094788.84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548381</v>
      </c>
    </row>
    <row r="30" spans="1:4" x14ac:dyDescent="0.2">
      <c r="B30" s="187" t="s">
        <v>760</v>
      </c>
      <c r="C30" s="180">
        <f>SUM(C28:C29)</f>
        <v>15643169.84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8393181</v>
      </c>
      <c r="D35" s="182">
        <f t="shared" ref="D35:D40" si="1">ROUND((C35/$C$41)*100,1)</f>
        <v>53.5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191912.51000000164</v>
      </c>
      <c r="D36" s="182">
        <f t="shared" si="1"/>
        <v>1.2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4096249</v>
      </c>
      <c r="D37" s="182">
        <f t="shared" si="1"/>
        <v>26.1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1544909</v>
      </c>
      <c r="D38" s="182">
        <f t="shared" si="1"/>
        <v>9.8000000000000007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1467071</v>
      </c>
      <c r="D39" s="182">
        <f t="shared" si="1"/>
        <v>9.3000000000000007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15693322.510000002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4160640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D21B-EC93-4521-B326-61BBB0BDDD9D}">
  <sheetPr>
    <tabColor indexed="17"/>
  </sheetPr>
  <dimension ref="A1:IV90"/>
  <sheetViews>
    <sheetView workbookViewId="0">
      <selection activeCell="C11" sqref="C11:M1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802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8" t="s">
        <v>799</v>
      </c>
      <c r="B2" s="289"/>
      <c r="C2" s="289"/>
      <c r="D2" s="289"/>
      <c r="E2" s="289"/>
      <c r="F2" s="294" t="str">
        <f>'DOE25'!A2</f>
        <v>Littleton SD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2" t="s">
        <v>803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4</v>
      </c>
      <c r="B6" s="220">
        <v>10</v>
      </c>
      <c r="C6" s="282" t="s">
        <v>900</v>
      </c>
      <c r="D6" s="282">
        <f t="shared" ref="D6:M6" si="0">365662.68-91415.67</f>
        <v>274247.01</v>
      </c>
      <c r="E6" s="282">
        <f t="shared" si="0"/>
        <v>274247.01</v>
      </c>
      <c r="F6" s="282">
        <f t="shared" si="0"/>
        <v>274247.01</v>
      </c>
      <c r="G6" s="282">
        <f t="shared" si="0"/>
        <v>274247.01</v>
      </c>
      <c r="H6" s="282">
        <f t="shared" si="0"/>
        <v>274247.01</v>
      </c>
      <c r="I6" s="282">
        <f t="shared" si="0"/>
        <v>274247.01</v>
      </c>
      <c r="J6" s="282">
        <f t="shared" si="0"/>
        <v>274247.01</v>
      </c>
      <c r="K6" s="282">
        <f t="shared" si="0"/>
        <v>274247.01</v>
      </c>
      <c r="L6" s="282">
        <f t="shared" si="0"/>
        <v>274247.01</v>
      </c>
      <c r="M6" s="283">
        <f t="shared" si="0"/>
        <v>274247.01</v>
      </c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>
        <v>6</v>
      </c>
      <c r="B8" s="220">
        <v>6</v>
      </c>
      <c r="C8" s="282" t="s">
        <v>902</v>
      </c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 t="s">
        <v>903</v>
      </c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 t="s">
        <v>904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 t="s">
        <v>905</v>
      </c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08"/>
      <c r="AB29" s="208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8"/>
      <c r="AO29" s="208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8"/>
      <c r="BB29" s="208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8"/>
      <c r="BO29" s="208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8"/>
      <c r="CB29" s="208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8"/>
      <c r="CO29" s="208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8"/>
      <c r="DB29" s="208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8"/>
      <c r="DO29" s="208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8"/>
      <c r="EB29" s="208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8"/>
      <c r="EO29" s="208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8"/>
      <c r="FB29" s="208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8"/>
      <c r="FO29" s="208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8"/>
      <c r="GB29" s="208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8"/>
      <c r="GO29" s="208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8"/>
      <c r="HB29" s="208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8"/>
      <c r="HO29" s="208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8"/>
      <c r="IB29" s="208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8"/>
      <c r="IO29" s="208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08"/>
      <c r="AB30" s="208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8"/>
      <c r="AO30" s="208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8"/>
      <c r="BB30" s="208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8"/>
      <c r="BO30" s="208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8"/>
      <c r="CB30" s="208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8"/>
      <c r="CO30" s="208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8"/>
      <c r="DB30" s="208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8"/>
      <c r="DO30" s="208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8"/>
      <c r="EB30" s="208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8"/>
      <c r="EO30" s="208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8"/>
      <c r="FB30" s="208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8"/>
      <c r="FO30" s="208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8"/>
      <c r="GB30" s="208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8"/>
      <c r="GO30" s="208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8"/>
      <c r="HB30" s="208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8"/>
      <c r="HO30" s="208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8"/>
      <c r="IB30" s="208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8"/>
      <c r="IO30" s="208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08"/>
      <c r="AB31" s="208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8"/>
      <c r="AO31" s="208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8"/>
      <c r="BB31" s="208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8"/>
      <c r="BO31" s="208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8"/>
      <c r="CB31" s="208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8"/>
      <c r="CO31" s="208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8"/>
      <c r="DB31" s="208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8"/>
      <c r="DO31" s="208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8"/>
      <c r="EB31" s="208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8"/>
      <c r="EO31" s="208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8"/>
      <c r="FB31" s="208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8"/>
      <c r="FO31" s="208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8"/>
      <c r="GB31" s="208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8"/>
      <c r="GO31" s="208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8"/>
      <c r="HB31" s="208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8"/>
      <c r="HO31" s="208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8"/>
      <c r="IB31" s="208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8"/>
      <c r="IO31" s="208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08"/>
      <c r="AB38" s="208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8"/>
      <c r="AO38" s="208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8"/>
      <c r="BB38" s="208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8"/>
      <c r="BO38" s="208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8"/>
      <c r="CB38" s="208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8"/>
      <c r="CO38" s="208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8"/>
      <c r="DB38" s="208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8"/>
      <c r="DO38" s="208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8"/>
      <c r="EB38" s="208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8"/>
      <c r="EO38" s="208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8"/>
      <c r="FB38" s="208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8"/>
      <c r="FO38" s="208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8"/>
      <c r="GB38" s="208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8"/>
      <c r="GO38" s="208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8"/>
      <c r="HB38" s="208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8"/>
      <c r="HO38" s="208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8"/>
      <c r="IB38" s="208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8"/>
      <c r="IO38" s="208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08"/>
      <c r="AB39" s="208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8"/>
      <c r="AO39" s="208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8"/>
      <c r="BB39" s="208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8"/>
      <c r="BO39" s="208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8"/>
      <c r="CB39" s="208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8"/>
      <c r="CO39" s="208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8"/>
      <c r="DB39" s="208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8"/>
      <c r="DO39" s="208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8"/>
      <c r="EB39" s="208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8"/>
      <c r="EO39" s="208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8"/>
      <c r="FB39" s="208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8"/>
      <c r="FO39" s="208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8"/>
      <c r="GB39" s="208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8"/>
      <c r="GO39" s="208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8"/>
      <c r="HB39" s="208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8"/>
      <c r="HO39" s="208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8"/>
      <c r="IB39" s="208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8"/>
      <c r="IO39" s="208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08"/>
      <c r="AB40" s="208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8"/>
      <c r="AO40" s="208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8"/>
      <c r="BB40" s="208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8"/>
      <c r="BO40" s="208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8"/>
      <c r="CB40" s="208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8"/>
      <c r="CO40" s="208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8"/>
      <c r="DB40" s="208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8"/>
      <c r="DO40" s="208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8"/>
      <c r="EB40" s="208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8"/>
      <c r="EO40" s="208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8"/>
      <c r="FB40" s="208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8"/>
      <c r="FO40" s="208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8"/>
      <c r="GB40" s="208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8"/>
      <c r="GO40" s="208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8"/>
      <c r="HB40" s="208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8"/>
      <c r="HO40" s="208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8"/>
      <c r="IB40" s="208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8"/>
      <c r="IO40" s="208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7" t="s">
        <v>893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2010-10-21T19:07:50Z</cp:lastPrinted>
  <dcterms:created xsi:type="dcterms:W3CDTF">1997-12-04T19:04:30Z</dcterms:created>
  <dcterms:modified xsi:type="dcterms:W3CDTF">2025-01-02T14:50:54Z</dcterms:modified>
</cp:coreProperties>
</file>