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AA4C3B7-4713-4051-A0FB-014094C03C3B}" xr6:coauthVersionLast="47" xr6:coauthVersionMax="47" xr10:uidLastSave="{00000000-0000-0000-0000-000000000000}"/>
  <workbookProtection workbookPassword="B70A" lockStructure="1"/>
  <bookViews>
    <workbookView xWindow="2295" yWindow="2295" windowWidth="21600" windowHeight="11505" tabRatio="855" xr2:uid="{9DDE6455-FB3D-471A-998B-B45CA8737A5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6" i="1" l="1"/>
  <c r="G523" i="1"/>
  <c r="G511" i="1"/>
  <c r="G522" i="1"/>
  <c r="K511" i="1"/>
  <c r="H533" i="1"/>
  <c r="H532" i="1"/>
  <c r="L532" i="1" s="1"/>
  <c r="H531" i="1"/>
  <c r="K516" i="1"/>
  <c r="I518" i="1"/>
  <c r="I517" i="1"/>
  <c r="I516" i="1"/>
  <c r="H518" i="1"/>
  <c r="H517" i="1"/>
  <c r="H516" i="1"/>
  <c r="H519" i="1" s="1"/>
  <c r="F518" i="1"/>
  <c r="F517" i="1"/>
  <c r="F516" i="1"/>
  <c r="J513" i="1"/>
  <c r="J514" i="1" s="1"/>
  <c r="J512" i="1"/>
  <c r="J511" i="1"/>
  <c r="I513" i="1"/>
  <c r="I512" i="1"/>
  <c r="I511" i="1"/>
  <c r="H513" i="1"/>
  <c r="H512" i="1"/>
  <c r="H511" i="1"/>
  <c r="L511" i="1" s="1"/>
  <c r="F513" i="1"/>
  <c r="F512" i="1"/>
  <c r="F511" i="1"/>
  <c r="I523" i="1"/>
  <c r="I524" i="1" s="1"/>
  <c r="I535" i="1" s="1"/>
  <c r="I522" i="1"/>
  <c r="I521" i="1"/>
  <c r="H523" i="1"/>
  <c r="H522" i="1"/>
  <c r="H521" i="1"/>
  <c r="F523" i="1"/>
  <c r="F522" i="1"/>
  <c r="F521" i="1"/>
  <c r="F524" i="1" s="1"/>
  <c r="K513" i="1"/>
  <c r="H572" i="1"/>
  <c r="I572" i="1" s="1"/>
  <c r="G547" i="1"/>
  <c r="G548" i="1"/>
  <c r="L548" i="1" s="1"/>
  <c r="L550" i="1" s="1"/>
  <c r="B20" i="12"/>
  <c r="C21" i="12"/>
  <c r="C20" i="12"/>
  <c r="C12" i="12"/>
  <c r="C11" i="12"/>
  <c r="B21" i="12"/>
  <c r="B19" i="12"/>
  <c r="B10" i="12"/>
  <c r="B13" i="12" s="1"/>
  <c r="I603" i="1"/>
  <c r="I602" i="1"/>
  <c r="I601" i="1"/>
  <c r="G602" i="1"/>
  <c r="L602" i="1" s="1"/>
  <c r="G653" i="1" s="1"/>
  <c r="F603" i="1"/>
  <c r="G603" i="1" s="1"/>
  <c r="F602" i="1"/>
  <c r="F601" i="1"/>
  <c r="G601" i="1" s="1"/>
  <c r="L601" i="1" s="1"/>
  <c r="G225" i="1"/>
  <c r="G243" i="1"/>
  <c r="G237" i="1"/>
  <c r="L237" i="1" s="1"/>
  <c r="G235" i="1"/>
  <c r="L235" i="1" s="1"/>
  <c r="G234" i="1"/>
  <c r="L234" i="1" s="1"/>
  <c r="G233" i="1"/>
  <c r="G232" i="1"/>
  <c r="G231" i="1"/>
  <c r="G230" i="1"/>
  <c r="G228" i="1"/>
  <c r="G226" i="1"/>
  <c r="G207" i="1"/>
  <c r="G219" i="1"/>
  <c r="G217" i="1"/>
  <c r="G216" i="1"/>
  <c r="G215" i="1"/>
  <c r="G214" i="1"/>
  <c r="G213" i="1"/>
  <c r="G212" i="1"/>
  <c r="G210" i="1"/>
  <c r="G208" i="1"/>
  <c r="G189" i="1"/>
  <c r="G201" i="1"/>
  <c r="G199" i="1"/>
  <c r="G198" i="1"/>
  <c r="G197" i="1"/>
  <c r="G196" i="1"/>
  <c r="L196" i="1" s="1"/>
  <c r="G195" i="1"/>
  <c r="G194" i="1"/>
  <c r="G192" i="1"/>
  <c r="G190" i="1"/>
  <c r="C18" i="12" s="1"/>
  <c r="H199" i="1"/>
  <c r="H217" i="1"/>
  <c r="H235" i="1"/>
  <c r="F2" i="11"/>
  <c r="B2" i="10"/>
  <c r="C25" i="10"/>
  <c r="C26" i="10"/>
  <c r="C37" i="10"/>
  <c r="C40" i="10"/>
  <c r="C42" i="10"/>
  <c r="A1" i="2"/>
  <c r="A2" i="2"/>
  <c r="C9" i="2"/>
  <c r="D9" i="2"/>
  <c r="D19" i="2" s="1"/>
  <c r="E9" i="2"/>
  <c r="F9" i="2"/>
  <c r="F19" i="2" s="1"/>
  <c r="C10" i="2"/>
  <c r="D10" i="2"/>
  <c r="E10" i="2"/>
  <c r="F10" i="2"/>
  <c r="C11" i="2"/>
  <c r="C12" i="2"/>
  <c r="D12" i="2"/>
  <c r="E12" i="2"/>
  <c r="F12" i="2"/>
  <c r="C13" i="2"/>
  <c r="D13" i="2"/>
  <c r="E13" i="2"/>
  <c r="F13" i="2"/>
  <c r="C14" i="2"/>
  <c r="D14" i="2"/>
  <c r="E14" i="2"/>
  <c r="F14" i="2"/>
  <c r="G14" i="2"/>
  <c r="F15" i="2"/>
  <c r="C16" i="2"/>
  <c r="C19" i="2" s="1"/>
  <c r="D16" i="2"/>
  <c r="E16" i="2"/>
  <c r="F16" i="2"/>
  <c r="C17" i="2"/>
  <c r="D17" i="2"/>
  <c r="E17" i="2"/>
  <c r="F17" i="2"/>
  <c r="C18" i="2"/>
  <c r="D18" i="2"/>
  <c r="E18" i="2"/>
  <c r="F18" i="2"/>
  <c r="C22" i="2"/>
  <c r="D22" i="2"/>
  <c r="E22" i="2"/>
  <c r="F22" i="2"/>
  <c r="G22" i="2"/>
  <c r="G32" i="2" s="1"/>
  <c r="C23" i="2"/>
  <c r="C32" i="2" s="1"/>
  <c r="D23" i="2"/>
  <c r="E23" i="2"/>
  <c r="F23" i="2"/>
  <c r="C24" i="2"/>
  <c r="D24" i="2"/>
  <c r="E24" i="2"/>
  <c r="F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D32" i="2"/>
  <c r="F32" i="2"/>
  <c r="C34" i="2"/>
  <c r="D34" i="2"/>
  <c r="E34" i="2"/>
  <c r="E42" i="2" s="1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D42" i="2" s="1"/>
  <c r="D43" i="2" s="1"/>
  <c r="E38" i="2"/>
  <c r="F38" i="2"/>
  <c r="C40" i="2"/>
  <c r="D40" i="2"/>
  <c r="E40" i="2"/>
  <c r="F40" i="2"/>
  <c r="C41" i="2"/>
  <c r="D41" i="2"/>
  <c r="E41" i="2"/>
  <c r="F41" i="2"/>
  <c r="C42" i="2"/>
  <c r="C48" i="2"/>
  <c r="D48" i="2"/>
  <c r="E48" i="2"/>
  <c r="G48" i="2"/>
  <c r="C51" i="2"/>
  <c r="D51" i="2"/>
  <c r="E51" i="2"/>
  <c r="F51" i="2"/>
  <c r="F54" i="2" s="1"/>
  <c r="G51" i="2"/>
  <c r="G54" i="2" s="1"/>
  <c r="D52" i="2"/>
  <c r="C53" i="2"/>
  <c r="D53" i="2"/>
  <c r="E53" i="2"/>
  <c r="F53" i="2"/>
  <c r="G53" i="2"/>
  <c r="C58" i="2"/>
  <c r="C59" i="2"/>
  <c r="C60" i="2"/>
  <c r="C61" i="2"/>
  <c r="D61" i="2"/>
  <c r="D62" i="2" s="1"/>
  <c r="E61" i="2"/>
  <c r="F61" i="2"/>
  <c r="F62" i="2" s="1"/>
  <c r="G61" i="2"/>
  <c r="G62" i="2" s="1"/>
  <c r="C62" i="2"/>
  <c r="E62" i="2"/>
  <c r="C64" i="2"/>
  <c r="F64" i="2"/>
  <c r="C65" i="2"/>
  <c r="F65" i="2"/>
  <c r="C66" i="2"/>
  <c r="C67" i="2"/>
  <c r="C68" i="2"/>
  <c r="E68" i="2"/>
  <c r="E70" i="2" s="1"/>
  <c r="E73" i="2" s="1"/>
  <c r="F68" i="2"/>
  <c r="C69" i="2"/>
  <c r="D69" i="2"/>
  <c r="E69" i="2"/>
  <c r="F69" i="2"/>
  <c r="G69" i="2"/>
  <c r="D70" i="2"/>
  <c r="F70" i="2"/>
  <c r="F73" i="2" s="1"/>
  <c r="G70" i="2"/>
  <c r="G73" i="2" s="1"/>
  <c r="C71" i="2"/>
  <c r="D71" i="2"/>
  <c r="E71" i="2"/>
  <c r="C72" i="2"/>
  <c r="E72" i="2"/>
  <c r="C77" i="2"/>
  <c r="D77" i="2"/>
  <c r="D83" i="2" s="1"/>
  <c r="E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C86" i="2"/>
  <c r="F86" i="2"/>
  <c r="D88" i="2"/>
  <c r="D95" i="2" s="1"/>
  <c r="E88" i="2"/>
  <c r="E95" i="2" s="1"/>
  <c r="F88" i="2"/>
  <c r="F95" i="2" s="1"/>
  <c r="G88" i="2"/>
  <c r="C89" i="2"/>
  <c r="D89" i="2"/>
  <c r="E89" i="2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107" i="2"/>
  <c r="F107" i="2"/>
  <c r="G107" i="2"/>
  <c r="G137" i="2" s="1"/>
  <c r="F120" i="2"/>
  <c r="G120" i="2"/>
  <c r="F126" i="2"/>
  <c r="E123" i="2"/>
  <c r="E124" i="2"/>
  <c r="D126" i="2"/>
  <c r="E126" i="2"/>
  <c r="E134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G149" i="2"/>
  <c r="B150" i="2"/>
  <c r="C150" i="2"/>
  <c r="G150" i="2" s="1"/>
  <c r="D150" i="2"/>
  <c r="E150" i="2"/>
  <c r="F150" i="2"/>
  <c r="B151" i="2"/>
  <c r="C151" i="2"/>
  <c r="D151" i="2"/>
  <c r="E151" i="2"/>
  <c r="F151" i="2"/>
  <c r="G151" i="2" s="1"/>
  <c r="B152" i="2"/>
  <c r="C152" i="2"/>
  <c r="G152" i="2" s="1"/>
  <c r="D152" i="2"/>
  <c r="E152" i="2"/>
  <c r="F152" i="2"/>
  <c r="F153" i="2"/>
  <c r="B154" i="2"/>
  <c r="C154" i="2"/>
  <c r="G154" i="2" s="1"/>
  <c r="D154" i="2"/>
  <c r="E154" i="2"/>
  <c r="F154" i="2"/>
  <c r="B155" i="2"/>
  <c r="C155" i="2"/>
  <c r="D155" i="2"/>
  <c r="E155" i="2"/>
  <c r="F155" i="2"/>
  <c r="G155" i="2"/>
  <c r="C156" i="2"/>
  <c r="B2" i="13"/>
  <c r="F6" i="13"/>
  <c r="G6" i="13"/>
  <c r="F7" i="13"/>
  <c r="F8" i="13"/>
  <c r="C9" i="13"/>
  <c r="C10" i="13"/>
  <c r="C11" i="13"/>
  <c r="F12" i="13"/>
  <c r="F13" i="13"/>
  <c r="G13" i="13"/>
  <c r="F14" i="13"/>
  <c r="G14" i="13"/>
  <c r="F15" i="13"/>
  <c r="G15" i="13"/>
  <c r="G16" i="13"/>
  <c r="F17" i="13"/>
  <c r="G17" i="13"/>
  <c r="F18" i="13"/>
  <c r="G18" i="13"/>
  <c r="D18" i="13"/>
  <c r="C18" i="13"/>
  <c r="F19" i="13"/>
  <c r="G19" i="13"/>
  <c r="G29" i="13"/>
  <c r="D39" i="13"/>
  <c r="B1" i="12"/>
  <c r="B4" i="12"/>
  <c r="B9" i="12"/>
  <c r="A13" i="12" s="1"/>
  <c r="C9" i="12"/>
  <c r="C13" i="12"/>
  <c r="B22" i="12"/>
  <c r="C22" i="12"/>
  <c r="B27" i="12"/>
  <c r="C27" i="12"/>
  <c r="B31" i="12"/>
  <c r="C31" i="12"/>
  <c r="A31" i="12" s="1"/>
  <c r="B36" i="12"/>
  <c r="A40" i="12" s="1"/>
  <c r="C36" i="12"/>
  <c r="B40" i="12"/>
  <c r="C40" i="12"/>
  <c r="J14" i="1"/>
  <c r="F19" i="1"/>
  <c r="G607" i="1" s="1"/>
  <c r="G19" i="1"/>
  <c r="G608" i="1" s="1"/>
  <c r="J608" i="1" s="1"/>
  <c r="H19" i="1"/>
  <c r="I19" i="1"/>
  <c r="F33" i="1"/>
  <c r="F44" i="1" s="1"/>
  <c r="H607" i="1" s="1"/>
  <c r="G33" i="1"/>
  <c r="H33" i="1"/>
  <c r="I33" i="1"/>
  <c r="J38" i="1"/>
  <c r="G37" i="2" s="1"/>
  <c r="F43" i="1"/>
  <c r="G43" i="1"/>
  <c r="H43" i="1"/>
  <c r="I43" i="1"/>
  <c r="G44" i="1"/>
  <c r="H44" i="1"/>
  <c r="H609" i="1" s="1"/>
  <c r="F52" i="1"/>
  <c r="C35" i="10" s="1"/>
  <c r="G52" i="1"/>
  <c r="H52" i="1"/>
  <c r="H104" i="1" s="1"/>
  <c r="I52" i="1"/>
  <c r="F48" i="2" s="1"/>
  <c r="J52" i="1"/>
  <c r="F71" i="1"/>
  <c r="C49" i="2" s="1"/>
  <c r="C54" i="2" s="1"/>
  <c r="C55" i="2" s="1"/>
  <c r="H71" i="1"/>
  <c r="E49" i="2" s="1"/>
  <c r="E54" i="2" s="1"/>
  <c r="F86" i="1"/>
  <c r="C50" i="2" s="1"/>
  <c r="H86" i="1"/>
  <c r="E50" i="2" s="1"/>
  <c r="F103" i="1"/>
  <c r="G103" i="1"/>
  <c r="H103" i="1"/>
  <c r="I103" i="1"/>
  <c r="J103" i="1"/>
  <c r="G104" i="1"/>
  <c r="I104" i="1"/>
  <c r="J104" i="1"/>
  <c r="F113" i="1"/>
  <c r="F132" i="1" s="1"/>
  <c r="G113" i="1"/>
  <c r="H113" i="1"/>
  <c r="I113" i="1"/>
  <c r="J113" i="1"/>
  <c r="F128" i="1"/>
  <c r="G128" i="1"/>
  <c r="H128" i="1"/>
  <c r="I128" i="1"/>
  <c r="I132" i="1" s="1"/>
  <c r="I185" i="1" s="1"/>
  <c r="G620" i="1" s="1"/>
  <c r="J620" i="1" s="1"/>
  <c r="J128" i="1"/>
  <c r="G132" i="1"/>
  <c r="H132" i="1"/>
  <c r="J132" i="1"/>
  <c r="F139" i="1"/>
  <c r="G139" i="1"/>
  <c r="H139" i="1"/>
  <c r="H161" i="1" s="1"/>
  <c r="I139" i="1"/>
  <c r="F77" i="2" s="1"/>
  <c r="F83" i="2" s="1"/>
  <c r="F154" i="1"/>
  <c r="G154" i="1"/>
  <c r="H154" i="1"/>
  <c r="I154" i="1"/>
  <c r="F161" i="1"/>
  <c r="C39" i="10" s="1"/>
  <c r="G161" i="1"/>
  <c r="I161" i="1"/>
  <c r="F169" i="1"/>
  <c r="I169" i="1"/>
  <c r="F175" i="1"/>
  <c r="G175" i="1"/>
  <c r="H175" i="1"/>
  <c r="I175" i="1"/>
  <c r="I184" i="1" s="1"/>
  <c r="J175" i="1"/>
  <c r="F180" i="1"/>
  <c r="G180" i="1"/>
  <c r="H180" i="1"/>
  <c r="I180" i="1"/>
  <c r="F184" i="1"/>
  <c r="J184" i="1"/>
  <c r="J185" i="1"/>
  <c r="F189" i="1"/>
  <c r="H189" i="1"/>
  <c r="I189" i="1"/>
  <c r="J189" i="1"/>
  <c r="F190" i="1"/>
  <c r="B18" i="12" s="1"/>
  <c r="A22" i="12" s="1"/>
  <c r="H190" i="1"/>
  <c r="I190" i="1"/>
  <c r="K190" i="1"/>
  <c r="G5" i="13" s="1"/>
  <c r="L191" i="1"/>
  <c r="C103" i="2" s="1"/>
  <c r="F192" i="1"/>
  <c r="I192" i="1"/>
  <c r="F194" i="1"/>
  <c r="L194" i="1" s="1"/>
  <c r="H194" i="1"/>
  <c r="I194" i="1"/>
  <c r="K194" i="1"/>
  <c r="F195" i="1"/>
  <c r="H195" i="1"/>
  <c r="I195" i="1"/>
  <c r="J195" i="1"/>
  <c r="J203" i="1" s="1"/>
  <c r="K195" i="1"/>
  <c r="F196" i="1"/>
  <c r="H196" i="1"/>
  <c r="I196" i="1"/>
  <c r="J196" i="1"/>
  <c r="K196" i="1"/>
  <c r="G8" i="13" s="1"/>
  <c r="F197" i="1"/>
  <c r="H197" i="1"/>
  <c r="I197" i="1"/>
  <c r="K197" i="1"/>
  <c r="G12" i="13" s="1"/>
  <c r="L197" i="1"/>
  <c r="F198" i="1"/>
  <c r="L198" i="1" s="1"/>
  <c r="H198" i="1"/>
  <c r="F199" i="1"/>
  <c r="I199" i="1"/>
  <c r="J199" i="1"/>
  <c r="K199" i="1"/>
  <c r="L199" i="1"/>
  <c r="H200" i="1"/>
  <c r="L200" i="1" s="1"/>
  <c r="F201" i="1"/>
  <c r="H201" i="1"/>
  <c r="L201" i="1" s="1"/>
  <c r="I201" i="1"/>
  <c r="J201" i="1"/>
  <c r="F16" i="13" s="1"/>
  <c r="F207" i="1"/>
  <c r="H207" i="1"/>
  <c r="H221" i="1" s="1"/>
  <c r="I207" i="1"/>
  <c r="J207" i="1"/>
  <c r="F208" i="1"/>
  <c r="F221" i="1" s="1"/>
  <c r="H208" i="1"/>
  <c r="I208" i="1"/>
  <c r="J208" i="1"/>
  <c r="K208" i="1"/>
  <c r="L209" i="1"/>
  <c r="F210" i="1"/>
  <c r="H210" i="1"/>
  <c r="I210" i="1"/>
  <c r="L210" i="1" s="1"/>
  <c r="J210" i="1"/>
  <c r="K210" i="1"/>
  <c r="F212" i="1"/>
  <c r="H212" i="1"/>
  <c r="I212" i="1"/>
  <c r="K212" i="1"/>
  <c r="F213" i="1"/>
  <c r="H213" i="1"/>
  <c r="I213" i="1"/>
  <c r="J213" i="1"/>
  <c r="K213" i="1"/>
  <c r="F214" i="1"/>
  <c r="L214" i="1" s="1"/>
  <c r="H214" i="1"/>
  <c r="I214" i="1"/>
  <c r="J214" i="1"/>
  <c r="K214" i="1"/>
  <c r="F215" i="1"/>
  <c r="H215" i="1"/>
  <c r="I215" i="1"/>
  <c r="K215" i="1"/>
  <c r="L215" i="1"/>
  <c r="F216" i="1"/>
  <c r="L216" i="1" s="1"/>
  <c r="H216" i="1"/>
  <c r="F217" i="1"/>
  <c r="I217" i="1"/>
  <c r="J217" i="1"/>
  <c r="K217" i="1"/>
  <c r="L217" i="1"/>
  <c r="H218" i="1"/>
  <c r="L218" i="1"/>
  <c r="G652" i="1" s="1"/>
  <c r="F219" i="1"/>
  <c r="L219" i="1" s="1"/>
  <c r="H219" i="1"/>
  <c r="I219" i="1"/>
  <c r="J219" i="1"/>
  <c r="F225" i="1"/>
  <c r="H225" i="1"/>
  <c r="H239" i="1" s="1"/>
  <c r="I225" i="1"/>
  <c r="J225" i="1"/>
  <c r="K225" i="1"/>
  <c r="F226" i="1"/>
  <c r="H226" i="1"/>
  <c r="I226" i="1"/>
  <c r="K226" i="1"/>
  <c r="L226" i="1"/>
  <c r="L227" i="1"/>
  <c r="F228" i="1"/>
  <c r="H228" i="1"/>
  <c r="I228" i="1"/>
  <c r="J228" i="1"/>
  <c r="K228" i="1"/>
  <c r="F230" i="1"/>
  <c r="L230" i="1" s="1"/>
  <c r="H230" i="1"/>
  <c r="I230" i="1"/>
  <c r="K230" i="1"/>
  <c r="F231" i="1"/>
  <c r="L231" i="1" s="1"/>
  <c r="H231" i="1"/>
  <c r="I231" i="1"/>
  <c r="J231" i="1"/>
  <c r="K231" i="1"/>
  <c r="F232" i="1"/>
  <c r="H232" i="1"/>
  <c r="I232" i="1"/>
  <c r="J232" i="1"/>
  <c r="K232" i="1"/>
  <c r="F233" i="1"/>
  <c r="H233" i="1"/>
  <c r="L233" i="1" s="1"/>
  <c r="I233" i="1"/>
  <c r="K233" i="1"/>
  <c r="F234" i="1"/>
  <c r="H234" i="1"/>
  <c r="F235" i="1"/>
  <c r="I235" i="1"/>
  <c r="J235" i="1"/>
  <c r="K235" i="1"/>
  <c r="H236" i="1"/>
  <c r="L236" i="1" s="1"/>
  <c r="F237" i="1"/>
  <c r="H237" i="1"/>
  <c r="I237" i="1"/>
  <c r="J237" i="1"/>
  <c r="J239" i="1"/>
  <c r="K239" i="1"/>
  <c r="L242" i="1"/>
  <c r="F243" i="1"/>
  <c r="L243" i="1" s="1"/>
  <c r="H243" i="1"/>
  <c r="H248" i="1" s="1"/>
  <c r="I243" i="1"/>
  <c r="L244" i="1"/>
  <c r="L245" i="1"/>
  <c r="D19" i="13" s="1"/>
  <c r="C19" i="13" s="1"/>
  <c r="L246" i="1"/>
  <c r="L247" i="1"/>
  <c r="C122" i="2" s="1"/>
  <c r="F248" i="1"/>
  <c r="G248" i="1"/>
  <c r="L248" i="1"/>
  <c r="I248" i="1"/>
  <c r="J248" i="1"/>
  <c r="K248" i="1"/>
  <c r="L252" i="1"/>
  <c r="C32" i="10" s="1"/>
  <c r="K253" i="1"/>
  <c r="L253" i="1"/>
  <c r="C124" i="2" s="1"/>
  <c r="L255" i="1"/>
  <c r="C127" i="2" s="1"/>
  <c r="L256" i="1"/>
  <c r="C128" i="2" s="1"/>
  <c r="L257" i="1"/>
  <c r="C129" i="2" s="1"/>
  <c r="L258" i="1"/>
  <c r="L260" i="1"/>
  <c r="C134" i="2" s="1"/>
  <c r="L261" i="1"/>
  <c r="C135" i="2" s="1"/>
  <c r="F262" i="1"/>
  <c r="G262" i="1"/>
  <c r="H262" i="1"/>
  <c r="I262" i="1"/>
  <c r="J262" i="1"/>
  <c r="K262" i="1"/>
  <c r="L262" i="1" s="1"/>
  <c r="L268" i="1"/>
  <c r="E101" i="2" s="1"/>
  <c r="F269" i="1"/>
  <c r="L269" i="1" s="1"/>
  <c r="I269" i="1"/>
  <c r="I282" i="1" s="1"/>
  <c r="J269" i="1"/>
  <c r="J282" i="1" s="1"/>
  <c r="L270" i="1"/>
  <c r="L271" i="1"/>
  <c r="F273" i="1"/>
  <c r="L273" i="1" s="1"/>
  <c r="E110" i="2" s="1"/>
  <c r="F274" i="1"/>
  <c r="L274" i="1" s="1"/>
  <c r="E111" i="2" s="1"/>
  <c r="H274" i="1"/>
  <c r="I274" i="1"/>
  <c r="L275" i="1"/>
  <c r="E112" i="2" s="1"/>
  <c r="L276" i="1"/>
  <c r="E113" i="2" s="1"/>
  <c r="L277" i="1"/>
  <c r="E114" i="2" s="1"/>
  <c r="L278" i="1"/>
  <c r="E115" i="2" s="1"/>
  <c r="L279" i="1"/>
  <c r="L280" i="1"/>
  <c r="G282" i="1"/>
  <c r="H282" i="1"/>
  <c r="H330" i="1" s="1"/>
  <c r="H344" i="1" s="1"/>
  <c r="K282" i="1"/>
  <c r="K330" i="1" s="1"/>
  <c r="K344" i="1" s="1"/>
  <c r="L287" i="1"/>
  <c r="F288" i="1"/>
  <c r="J288" i="1"/>
  <c r="J301" i="1" s="1"/>
  <c r="J330" i="1" s="1"/>
  <c r="J344" i="1" s="1"/>
  <c r="L288" i="1"/>
  <c r="L289" i="1"/>
  <c r="L290" i="1"/>
  <c r="F292" i="1"/>
  <c r="L292" i="1"/>
  <c r="I293" i="1"/>
  <c r="L293" i="1"/>
  <c r="L294" i="1"/>
  <c r="L295" i="1"/>
  <c r="L296" i="1"/>
  <c r="L297" i="1"/>
  <c r="L298" i="1"/>
  <c r="L299" i="1"/>
  <c r="F301" i="1"/>
  <c r="G301" i="1"/>
  <c r="G330" i="1" s="1"/>
  <c r="G344" i="1" s="1"/>
  <c r="H301" i="1"/>
  <c r="I301" i="1"/>
  <c r="K301" i="1"/>
  <c r="L306" i="1"/>
  <c r="J307" i="1"/>
  <c r="J320" i="1" s="1"/>
  <c r="L307" i="1"/>
  <c r="H308" i="1"/>
  <c r="H320" i="1" s="1"/>
  <c r="I308" i="1"/>
  <c r="I320" i="1" s="1"/>
  <c r="K308" i="1"/>
  <c r="K320" i="1" s="1"/>
  <c r="G31" i="13" s="1"/>
  <c r="L309" i="1"/>
  <c r="F311" i="1"/>
  <c r="L311" i="1" s="1"/>
  <c r="H311" i="1"/>
  <c r="L312" i="1"/>
  <c r="L313" i="1"/>
  <c r="L314" i="1"/>
  <c r="L315" i="1"/>
  <c r="H316" i="1"/>
  <c r="L316" i="1"/>
  <c r="L317" i="1"/>
  <c r="L318" i="1"/>
  <c r="G320" i="1"/>
  <c r="L324" i="1"/>
  <c r="E105" i="2" s="1"/>
  <c r="L325" i="1"/>
  <c r="E106" i="2" s="1"/>
  <c r="L326" i="1"/>
  <c r="L327" i="1"/>
  <c r="L328" i="1"/>
  <c r="F329" i="1"/>
  <c r="G329" i="1"/>
  <c r="L329" i="1" s="1"/>
  <c r="H329" i="1"/>
  <c r="I329" i="1"/>
  <c r="J329" i="1"/>
  <c r="K329" i="1"/>
  <c r="I330" i="1"/>
  <c r="I344" i="1" s="1"/>
  <c r="L333" i="1"/>
  <c r="L334" i="1"/>
  <c r="L336" i="1"/>
  <c r="L337" i="1"/>
  <c r="E127" i="2" s="1"/>
  <c r="L338" i="1"/>
  <c r="E129" i="2" s="1"/>
  <c r="L339" i="1"/>
  <c r="L341" i="1"/>
  <c r="L342" i="1"/>
  <c r="E135" i="2" s="1"/>
  <c r="K343" i="1"/>
  <c r="L343" i="1"/>
  <c r="F350" i="1"/>
  <c r="F354" i="1" s="1"/>
  <c r="F351" i="1"/>
  <c r="J351" i="1"/>
  <c r="L351" i="1" s="1"/>
  <c r="F352" i="1"/>
  <c r="L352" i="1" s="1"/>
  <c r="J352" i="1"/>
  <c r="L353" i="1"/>
  <c r="G354" i="1"/>
  <c r="H354" i="1"/>
  <c r="I354" i="1"/>
  <c r="K354" i="1"/>
  <c r="I359" i="1"/>
  <c r="I361" i="1" s="1"/>
  <c r="H624" i="1" s="1"/>
  <c r="I360" i="1"/>
  <c r="F361" i="1"/>
  <c r="G361" i="1"/>
  <c r="H361" i="1"/>
  <c r="L366" i="1"/>
  <c r="L367" i="1"/>
  <c r="L368" i="1"/>
  <c r="L369" i="1"/>
  <c r="L370" i="1"/>
  <c r="L371" i="1"/>
  <c r="L372" i="1"/>
  <c r="L373" i="1"/>
  <c r="F374" i="1"/>
  <c r="G374" i="1"/>
  <c r="H374" i="1"/>
  <c r="I374" i="1"/>
  <c r="J374" i="1"/>
  <c r="K374" i="1"/>
  <c r="L379" i="1"/>
  <c r="L380" i="1"/>
  <c r="L385" i="1" s="1"/>
  <c r="L381" i="1"/>
  <c r="L382" i="1"/>
  <c r="L383" i="1"/>
  <c r="L384" i="1"/>
  <c r="F385" i="1"/>
  <c r="G385" i="1"/>
  <c r="H385" i="1"/>
  <c r="I385" i="1"/>
  <c r="L387" i="1"/>
  <c r="L388" i="1"/>
  <c r="L389" i="1"/>
  <c r="L390" i="1"/>
  <c r="L391" i="1"/>
  <c r="L392" i="1"/>
  <c r="F393" i="1"/>
  <c r="G393" i="1"/>
  <c r="H393" i="1"/>
  <c r="I393" i="1"/>
  <c r="L395" i="1"/>
  <c r="L399" i="1" s="1"/>
  <c r="C132" i="2" s="1"/>
  <c r="L396" i="1"/>
  <c r="L397" i="1"/>
  <c r="L398" i="1"/>
  <c r="F399" i="1"/>
  <c r="G399" i="1"/>
  <c r="G400" i="1" s="1"/>
  <c r="H635" i="1" s="1"/>
  <c r="H399" i="1"/>
  <c r="I399" i="1"/>
  <c r="I400" i="1" s="1"/>
  <c r="H400" i="1"/>
  <c r="L405" i="1"/>
  <c r="L406" i="1"/>
  <c r="L407" i="1"/>
  <c r="L408" i="1"/>
  <c r="L409" i="1"/>
  <c r="L410" i="1"/>
  <c r="F411" i="1"/>
  <c r="G411" i="1"/>
  <c r="H411" i="1"/>
  <c r="I411" i="1"/>
  <c r="I426" i="1" s="1"/>
  <c r="J411" i="1"/>
  <c r="K411" i="1"/>
  <c r="K426" i="1" s="1"/>
  <c r="G126" i="2" s="1"/>
  <c r="G136" i="2" s="1"/>
  <c r="L413" i="1"/>
  <c r="L414" i="1"/>
  <c r="L415" i="1"/>
  <c r="L416" i="1"/>
  <c r="L417" i="1"/>
  <c r="L418" i="1"/>
  <c r="F419" i="1"/>
  <c r="G419" i="1"/>
  <c r="H419" i="1"/>
  <c r="I419" i="1"/>
  <c r="J419" i="1"/>
  <c r="K419" i="1"/>
  <c r="L421" i="1"/>
  <c r="L425" i="1" s="1"/>
  <c r="L422" i="1"/>
  <c r="L423" i="1"/>
  <c r="L424" i="1"/>
  <c r="F425" i="1"/>
  <c r="G425" i="1"/>
  <c r="H425" i="1"/>
  <c r="I425" i="1"/>
  <c r="J425" i="1"/>
  <c r="K425" i="1"/>
  <c r="F426" i="1"/>
  <c r="G426" i="1"/>
  <c r="H426" i="1"/>
  <c r="J426" i="1"/>
  <c r="I431" i="1"/>
  <c r="I432" i="1"/>
  <c r="J10" i="1" s="1"/>
  <c r="G10" i="2" s="1"/>
  <c r="I433" i="1"/>
  <c r="J12" i="1" s="1"/>
  <c r="G12" i="2" s="1"/>
  <c r="I434" i="1"/>
  <c r="J13" i="1" s="1"/>
  <c r="G13" i="2" s="1"/>
  <c r="I435" i="1"/>
  <c r="I436" i="1"/>
  <c r="J17" i="1" s="1"/>
  <c r="G17" i="2" s="1"/>
  <c r="I437" i="1"/>
  <c r="J18" i="1" s="1"/>
  <c r="G18" i="2" s="1"/>
  <c r="F438" i="1"/>
  <c r="G629" i="1" s="1"/>
  <c r="G438" i="1"/>
  <c r="H438" i="1"/>
  <c r="I440" i="1"/>
  <c r="J23" i="1" s="1"/>
  <c r="J33" i="1" s="1"/>
  <c r="I441" i="1"/>
  <c r="J24" i="1" s="1"/>
  <c r="G23" i="2" s="1"/>
  <c r="I442" i="1"/>
  <c r="J25" i="1" s="1"/>
  <c r="G24" i="2" s="1"/>
  <c r="I443" i="1"/>
  <c r="J32" i="1" s="1"/>
  <c r="G31" i="2" s="1"/>
  <c r="F444" i="1"/>
  <c r="G444" i="1"/>
  <c r="H444" i="1"/>
  <c r="I444" i="1"/>
  <c r="I446" i="1"/>
  <c r="I447" i="1"/>
  <c r="I448" i="1"/>
  <c r="J40" i="1" s="1"/>
  <c r="G39" i="2" s="1"/>
  <c r="I449" i="1"/>
  <c r="J41" i="1" s="1"/>
  <c r="G40" i="2" s="1"/>
  <c r="F450" i="1"/>
  <c r="G450" i="1"/>
  <c r="G451" i="1" s="1"/>
  <c r="H630" i="1" s="1"/>
  <c r="J630" i="1" s="1"/>
  <c r="H450" i="1"/>
  <c r="F451" i="1"/>
  <c r="H629" i="1" s="1"/>
  <c r="H451" i="1"/>
  <c r="F460" i="1"/>
  <c r="F466" i="1" s="1"/>
  <c r="H612" i="1" s="1"/>
  <c r="J612" i="1" s="1"/>
  <c r="G460" i="1"/>
  <c r="H460" i="1"/>
  <c r="H466" i="1" s="1"/>
  <c r="I460" i="1"/>
  <c r="J460" i="1"/>
  <c r="F464" i="1"/>
  <c r="G464" i="1"/>
  <c r="H464" i="1"/>
  <c r="I464" i="1"/>
  <c r="J464" i="1"/>
  <c r="J466" i="1" s="1"/>
  <c r="H616" i="1" s="1"/>
  <c r="G466" i="1"/>
  <c r="H613" i="1" s="1"/>
  <c r="I466" i="1"/>
  <c r="K485" i="1"/>
  <c r="K486" i="1"/>
  <c r="K487" i="1"/>
  <c r="K488" i="1"/>
  <c r="K489" i="1"/>
  <c r="F490" i="1"/>
  <c r="B153" i="2" s="1"/>
  <c r="G490" i="1"/>
  <c r="C153" i="2" s="1"/>
  <c r="H490" i="1"/>
  <c r="I490" i="1"/>
  <c r="E153" i="2" s="1"/>
  <c r="J490" i="1"/>
  <c r="K491" i="1"/>
  <c r="K492" i="1"/>
  <c r="F493" i="1"/>
  <c r="B156" i="2" s="1"/>
  <c r="G493" i="1"/>
  <c r="H493" i="1"/>
  <c r="D156" i="2" s="1"/>
  <c r="I493" i="1"/>
  <c r="E156" i="2" s="1"/>
  <c r="J493" i="1"/>
  <c r="F156" i="2" s="1"/>
  <c r="K493" i="1"/>
  <c r="F507" i="1"/>
  <c r="G507" i="1"/>
  <c r="H507" i="1"/>
  <c r="I507" i="1"/>
  <c r="I514" i="1"/>
  <c r="J535" i="1"/>
  <c r="K514" i="1"/>
  <c r="K535" i="1" s="1"/>
  <c r="I519" i="1"/>
  <c r="J519" i="1"/>
  <c r="K519" i="1"/>
  <c r="L522" i="1"/>
  <c r="H540" i="1" s="1"/>
  <c r="L523" i="1"/>
  <c r="H541" i="1" s="1"/>
  <c r="H524" i="1"/>
  <c r="J524" i="1"/>
  <c r="K524" i="1"/>
  <c r="L526" i="1"/>
  <c r="L527" i="1"/>
  <c r="L528" i="1"/>
  <c r="I541" i="1" s="1"/>
  <c r="F529" i="1"/>
  <c r="G529" i="1"/>
  <c r="H529" i="1"/>
  <c r="I529" i="1"/>
  <c r="J529" i="1"/>
  <c r="K529" i="1"/>
  <c r="L531" i="1"/>
  <c r="L533" i="1"/>
  <c r="J541" i="1" s="1"/>
  <c r="F534" i="1"/>
  <c r="G534" i="1"/>
  <c r="H534" i="1"/>
  <c r="I534" i="1"/>
  <c r="J534" i="1"/>
  <c r="K534" i="1"/>
  <c r="J539" i="1"/>
  <c r="I540" i="1"/>
  <c r="L547" i="1"/>
  <c r="L549" i="1"/>
  <c r="F550" i="1"/>
  <c r="H550" i="1"/>
  <c r="H561" i="1" s="1"/>
  <c r="I550" i="1"/>
  <c r="I561" i="1" s="1"/>
  <c r="J550" i="1"/>
  <c r="J561" i="1" s="1"/>
  <c r="K550" i="1"/>
  <c r="L552" i="1"/>
  <c r="L555" i="1" s="1"/>
  <c r="L553" i="1"/>
  <c r="L554" i="1"/>
  <c r="F555" i="1"/>
  <c r="G555" i="1"/>
  <c r="H555" i="1"/>
  <c r="I555" i="1"/>
  <c r="J555" i="1"/>
  <c r="K555" i="1"/>
  <c r="K561" i="1" s="1"/>
  <c r="L557" i="1"/>
  <c r="L558" i="1"/>
  <c r="L559" i="1"/>
  <c r="F560" i="1"/>
  <c r="F561" i="1" s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I588" i="1"/>
  <c r="H640" i="1"/>
  <c r="J640" i="1"/>
  <c r="J588" i="1"/>
  <c r="H641" i="1" s="1"/>
  <c r="K592" i="1"/>
  <c r="K593" i="1"/>
  <c r="K595" i="1" s="1"/>
  <c r="G638" i="1" s="1"/>
  <c r="K594" i="1"/>
  <c r="H595" i="1"/>
  <c r="I595" i="1"/>
  <c r="J595" i="1"/>
  <c r="F604" i="1"/>
  <c r="G604" i="1"/>
  <c r="H604" i="1"/>
  <c r="J604" i="1"/>
  <c r="K604" i="1"/>
  <c r="H608" i="1"/>
  <c r="G609" i="1"/>
  <c r="J609" i="1"/>
  <c r="G610" i="1"/>
  <c r="G612" i="1"/>
  <c r="G613" i="1"/>
  <c r="J613" i="1" s="1"/>
  <c r="G614" i="1"/>
  <c r="H614" i="1"/>
  <c r="J614" i="1" s="1"/>
  <c r="H615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30" i="1"/>
  <c r="G631" i="1"/>
  <c r="J631" i="1" s="1"/>
  <c r="H631" i="1"/>
  <c r="G633" i="1"/>
  <c r="G634" i="1"/>
  <c r="H634" i="1"/>
  <c r="J634" i="1"/>
  <c r="G635" i="1"/>
  <c r="H639" i="1"/>
  <c r="G640" i="1"/>
  <c r="G642" i="1"/>
  <c r="H642" i="1"/>
  <c r="J642" i="1"/>
  <c r="G643" i="1"/>
  <c r="J643" i="1" s="1"/>
  <c r="H643" i="1"/>
  <c r="G644" i="1"/>
  <c r="H644" i="1"/>
  <c r="J644" i="1" s="1"/>
  <c r="G645" i="1"/>
  <c r="H645" i="1"/>
  <c r="J645" i="1" s="1"/>
  <c r="F653" i="1"/>
  <c r="I655" i="1"/>
  <c r="I659" i="1"/>
  <c r="I660" i="1"/>
  <c r="C115" i="2"/>
  <c r="C117" i="2"/>
  <c r="L560" i="1"/>
  <c r="E120" i="2" l="1"/>
  <c r="G153" i="2"/>
  <c r="H652" i="1"/>
  <c r="G641" i="1"/>
  <c r="J641" i="1" s="1"/>
  <c r="E8" i="13"/>
  <c r="D55" i="2"/>
  <c r="C105" i="2"/>
  <c r="C23" i="10"/>
  <c r="L225" i="1"/>
  <c r="C113" i="2"/>
  <c r="C18" i="10"/>
  <c r="D12" i="13"/>
  <c r="C12" i="13" s="1"/>
  <c r="J249" i="1"/>
  <c r="H185" i="1"/>
  <c r="G619" i="1" s="1"/>
  <c r="J619" i="1" s="1"/>
  <c r="G156" i="2"/>
  <c r="E104" i="2"/>
  <c r="L228" i="1"/>
  <c r="H203" i="1"/>
  <c r="H249" i="1" s="1"/>
  <c r="H263" i="1" s="1"/>
  <c r="C95" i="2"/>
  <c r="D73" i="2"/>
  <c r="D54" i="2"/>
  <c r="E32" i="2"/>
  <c r="E19" i="2"/>
  <c r="L393" i="1"/>
  <c r="C131" i="2" s="1"/>
  <c r="F122" i="2"/>
  <c r="F136" i="2" s="1"/>
  <c r="F137" i="2" s="1"/>
  <c r="E122" i="2"/>
  <c r="E136" i="2" s="1"/>
  <c r="C29" i="10"/>
  <c r="F282" i="1"/>
  <c r="F330" i="1" s="1"/>
  <c r="F344" i="1" s="1"/>
  <c r="E16" i="13"/>
  <c r="C16" i="13" s="1"/>
  <c r="I450" i="1"/>
  <c r="I451" i="1" s="1"/>
  <c r="H632" i="1" s="1"/>
  <c r="J37" i="1"/>
  <c r="C130" i="2"/>
  <c r="C24" i="10"/>
  <c r="D17" i="13"/>
  <c r="C17" i="13" s="1"/>
  <c r="C106" i="2"/>
  <c r="C19" i="10"/>
  <c r="E13" i="13"/>
  <c r="C13" i="13" s="1"/>
  <c r="K203" i="1"/>
  <c r="K249" i="1" s="1"/>
  <c r="K263" i="1" s="1"/>
  <c r="G7" i="13"/>
  <c r="G33" i="13" s="1"/>
  <c r="J610" i="1"/>
  <c r="L529" i="1"/>
  <c r="E117" i="2"/>
  <c r="F31" i="13"/>
  <c r="K221" i="1"/>
  <c r="E83" i="2"/>
  <c r="G55" i="2"/>
  <c r="G96" i="2" s="1"/>
  <c r="L603" i="1"/>
  <c r="H653" i="1" s="1"/>
  <c r="I653" i="1" s="1"/>
  <c r="J637" i="1"/>
  <c r="E116" i="2"/>
  <c r="L213" i="1"/>
  <c r="D15" i="13"/>
  <c r="C15" i="13" s="1"/>
  <c r="H637" i="1"/>
  <c r="C116" i="2"/>
  <c r="F652" i="1"/>
  <c r="I652" i="1" s="1"/>
  <c r="C21" i="10"/>
  <c r="G639" i="1"/>
  <c r="J639" i="1" s="1"/>
  <c r="I203" i="1"/>
  <c r="H184" i="1"/>
  <c r="E55" i="2"/>
  <c r="L561" i="1"/>
  <c r="L534" i="1"/>
  <c r="J540" i="1"/>
  <c r="J542" i="1" s="1"/>
  <c r="I438" i="1"/>
  <c r="G632" i="1" s="1"/>
  <c r="F29" i="13"/>
  <c r="J354" i="1"/>
  <c r="L282" i="1"/>
  <c r="E102" i="2"/>
  <c r="E107" i="2" s="1"/>
  <c r="E137" i="2" s="1"/>
  <c r="G184" i="1"/>
  <c r="G185" i="1" s="1"/>
  <c r="G618" i="1" s="1"/>
  <c r="J618" i="1" s="1"/>
  <c r="I44" i="1"/>
  <c r="H610" i="1" s="1"/>
  <c r="G615" i="1"/>
  <c r="J615" i="1" s="1"/>
  <c r="D153" i="2"/>
  <c r="K490" i="1"/>
  <c r="L419" i="1"/>
  <c r="L411" i="1"/>
  <c r="F203" i="1"/>
  <c r="F249" i="1" s="1"/>
  <c r="F263" i="1" s="1"/>
  <c r="L189" i="1"/>
  <c r="J607" i="1"/>
  <c r="G221" i="1"/>
  <c r="G239" i="1"/>
  <c r="I604" i="1"/>
  <c r="F514" i="1"/>
  <c r="F535" i="1" s="1"/>
  <c r="G512" i="1"/>
  <c r="G514" i="1" s="1"/>
  <c r="G517" i="1"/>
  <c r="L517" i="1" s="1"/>
  <c r="G540" i="1" s="1"/>
  <c r="F519" i="1"/>
  <c r="L308" i="1"/>
  <c r="E103" i="2" s="1"/>
  <c r="D6" i="13"/>
  <c r="C6" i="13" s="1"/>
  <c r="G621" i="1"/>
  <c r="J621" i="1" s="1"/>
  <c r="G636" i="1"/>
  <c r="C43" i="2"/>
  <c r="L513" i="1"/>
  <c r="F541" i="1" s="1"/>
  <c r="G513" i="1"/>
  <c r="G518" i="1"/>
  <c r="L518" i="1"/>
  <c r="G541" i="1" s="1"/>
  <c r="C114" i="2"/>
  <c r="F400" i="1"/>
  <c r="H633" i="1" s="1"/>
  <c r="J633" i="1" s="1"/>
  <c r="F5" i="13"/>
  <c r="J221" i="1"/>
  <c r="C38" i="10"/>
  <c r="F42" i="2"/>
  <c r="F43" i="2" s="1"/>
  <c r="F539" i="1"/>
  <c r="I221" i="1"/>
  <c r="L192" i="1"/>
  <c r="E43" i="2"/>
  <c r="C20" i="10"/>
  <c r="D14" i="13"/>
  <c r="C14" i="13" s="1"/>
  <c r="J635" i="1"/>
  <c r="J629" i="1"/>
  <c r="L374" i="1"/>
  <c r="G626" i="1" s="1"/>
  <c r="J626" i="1" s="1"/>
  <c r="L301" i="1"/>
  <c r="I239" i="1"/>
  <c r="L195" i="1"/>
  <c r="F55" i="2"/>
  <c r="F96" i="2" s="1"/>
  <c r="C70" i="2"/>
  <c r="C73" i="2" s="1"/>
  <c r="C96" i="2" s="1"/>
  <c r="L516" i="1"/>
  <c r="F320" i="1"/>
  <c r="L207" i="1"/>
  <c r="L221" i="1" s="1"/>
  <c r="G650" i="1" s="1"/>
  <c r="G550" i="1"/>
  <c r="G561" i="1" s="1"/>
  <c r="I539" i="1"/>
  <c r="I542" i="1" s="1"/>
  <c r="L350" i="1"/>
  <c r="H651" i="1" s="1"/>
  <c r="L232" i="1"/>
  <c r="C112" i="2" s="1"/>
  <c r="L190" i="1"/>
  <c r="C123" i="2"/>
  <c r="G521" i="1"/>
  <c r="H514" i="1"/>
  <c r="H535" i="1" s="1"/>
  <c r="L212" i="1"/>
  <c r="C110" i="2" s="1"/>
  <c r="L208" i="1"/>
  <c r="F104" i="1"/>
  <c r="F185" i="1" s="1"/>
  <c r="G617" i="1" s="1"/>
  <c r="J617" i="1" s="1"/>
  <c r="H25" i="13"/>
  <c r="F239" i="1"/>
  <c r="F22" i="13"/>
  <c r="C22" i="13" s="1"/>
  <c r="G203" i="1"/>
  <c r="G249" i="1" s="1"/>
  <c r="G263" i="1" s="1"/>
  <c r="J9" i="1"/>
  <c r="C15" i="10" l="1"/>
  <c r="C101" i="2"/>
  <c r="C10" i="10"/>
  <c r="L203" i="1"/>
  <c r="L604" i="1"/>
  <c r="D96" i="2"/>
  <c r="C12" i="10"/>
  <c r="C17" i="10"/>
  <c r="L400" i="1"/>
  <c r="G651" i="1"/>
  <c r="G654" i="1" s="1"/>
  <c r="E33" i="13"/>
  <c r="D35" i="13" s="1"/>
  <c r="C8" i="13"/>
  <c r="L426" i="1"/>
  <c r="G628" i="1" s="1"/>
  <c r="J628" i="1" s="1"/>
  <c r="G36" i="2"/>
  <c r="G42" i="2" s="1"/>
  <c r="G43" i="2" s="1"/>
  <c r="J43" i="1"/>
  <c r="G524" i="1"/>
  <c r="L521" i="1"/>
  <c r="G519" i="1"/>
  <c r="G535" i="1" s="1"/>
  <c r="J632" i="1"/>
  <c r="L320" i="1"/>
  <c r="D31" i="13" s="1"/>
  <c r="C31" i="13" s="1"/>
  <c r="F33" i="13"/>
  <c r="D5" i="13"/>
  <c r="C133" i="2"/>
  <c r="C136" i="2" s="1"/>
  <c r="J263" i="1"/>
  <c r="H638" i="1"/>
  <c r="J638" i="1" s="1"/>
  <c r="G539" i="1"/>
  <c r="G542" i="1" s="1"/>
  <c r="L519" i="1"/>
  <c r="J19" i="1"/>
  <c r="G611" i="1" s="1"/>
  <c r="G9" i="2"/>
  <c r="G19" i="2" s="1"/>
  <c r="C102" i="2"/>
  <c r="C11" i="10"/>
  <c r="C13" i="10"/>
  <c r="C104" i="2"/>
  <c r="L330" i="1"/>
  <c r="L344" i="1" s="1"/>
  <c r="G623" i="1" s="1"/>
  <c r="J623" i="1" s="1"/>
  <c r="K541" i="1"/>
  <c r="L512" i="1"/>
  <c r="F651" i="1"/>
  <c r="D119" i="2"/>
  <c r="D120" i="2" s="1"/>
  <c r="D137" i="2" s="1"/>
  <c r="L354" i="1"/>
  <c r="D29" i="13"/>
  <c r="C29" i="13" s="1"/>
  <c r="C16" i="10"/>
  <c r="D7" i="13"/>
  <c r="C7" i="13" s="1"/>
  <c r="C111" i="2"/>
  <c r="C120" i="2" s="1"/>
  <c r="E96" i="2"/>
  <c r="C36" i="10"/>
  <c r="L239" i="1"/>
  <c r="H650" i="1" s="1"/>
  <c r="H654" i="1" s="1"/>
  <c r="H33" i="13"/>
  <c r="C25" i="13"/>
  <c r="I249" i="1"/>
  <c r="I263" i="1" s="1"/>
  <c r="G662" i="1" l="1"/>
  <c r="C5" i="10" s="1"/>
  <c r="G657" i="1"/>
  <c r="I651" i="1"/>
  <c r="H539" i="1"/>
  <c r="H542" i="1" s="1"/>
  <c r="L524" i="1"/>
  <c r="G625" i="1"/>
  <c r="J625" i="1" s="1"/>
  <c r="C27" i="10"/>
  <c r="H657" i="1"/>
  <c r="H662" i="1"/>
  <c r="C6" i="10" s="1"/>
  <c r="K539" i="1"/>
  <c r="F540" i="1"/>
  <c r="L514" i="1"/>
  <c r="J44" i="1"/>
  <c r="H611" i="1" s="1"/>
  <c r="J611" i="1" s="1"/>
  <c r="G616" i="1"/>
  <c r="J616" i="1" s="1"/>
  <c r="F650" i="1"/>
  <c r="L249" i="1"/>
  <c r="L263" i="1" s="1"/>
  <c r="G622" i="1" s="1"/>
  <c r="J622" i="1" s="1"/>
  <c r="C41" i="10"/>
  <c r="C28" i="10"/>
  <c r="D33" i="13"/>
  <c r="D36" i="13" s="1"/>
  <c r="C5" i="13"/>
  <c r="C107" i="2"/>
  <c r="C137" i="2" s="1"/>
  <c r="D13" i="10"/>
  <c r="H636" i="1"/>
  <c r="J636" i="1" s="1"/>
  <c r="G627" i="1"/>
  <c r="J627" i="1" s="1"/>
  <c r="D35" i="10" l="1"/>
  <c r="D40" i="10"/>
  <c r="D37" i="10"/>
  <c r="D39" i="10"/>
  <c r="D38" i="10"/>
  <c r="C30" i="10"/>
  <c r="D22" i="10"/>
  <c r="D25" i="10"/>
  <c r="D26" i="10"/>
  <c r="D23" i="10"/>
  <c r="D20" i="10"/>
  <c r="D21" i="10"/>
  <c r="D24" i="10"/>
  <c r="D18" i="10"/>
  <c r="D19" i="10"/>
  <c r="D36" i="10"/>
  <c r="D27" i="10"/>
  <c r="D12" i="10"/>
  <c r="D10" i="10"/>
  <c r="D28" i="10" s="1"/>
  <c r="D11" i="10"/>
  <c r="I650" i="1"/>
  <c r="I654" i="1" s="1"/>
  <c r="F654" i="1"/>
  <c r="D16" i="10"/>
  <c r="D17" i="10"/>
  <c r="D15" i="10"/>
  <c r="H646" i="1"/>
  <c r="L535" i="1"/>
  <c r="K540" i="1"/>
  <c r="F542" i="1"/>
  <c r="K542" i="1"/>
  <c r="I657" i="1" l="1"/>
  <c r="I662" i="1"/>
  <c r="C7" i="10" s="1"/>
  <c r="F657" i="1"/>
  <c r="F662" i="1"/>
  <c r="C4" i="10" s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860DEB6-78BD-4F7E-A8D5-4E9B7A5F6CD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4206369-5C56-40D5-9510-75B0E43B29D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03F8946-B9A5-496D-A2A7-680956B82EC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6C14B95-E595-4FCF-9684-826CE0931E0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85E3532-7574-4E15-A090-46B993938B4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6E8BA32-D555-4B65-804D-D0969371EE7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0E2845B-0EE3-42A3-973F-76474A37C26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F15C6CC-C4F8-40C2-A43A-20B34F38612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AA33285-E3C8-4423-939E-616BDE9B282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BAB77C6-AACD-4FB8-B108-ACAEE82A145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35E7C9C-DA14-4E6D-BFB7-5B9B6E832E2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884F36E-15B4-4A91-BD6B-E9514720463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<sst xmlns="http://schemas.openxmlformats.org/spreadsheetml/2006/main" count="3870" uniqueCount="907">
  <si>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</si>
  <si>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</si>
  <si>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</si>
  <si>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</si>
  <si>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</si>
  <si>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</si>
  <si>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</si>
  <si>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</si>
  <si>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</si>
  <si>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</si>
  <si>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</si>
  <si>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</si>
  <si>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</si>
  <si>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</si>
  <si>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</si>
  <si>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</si>
  <si>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</si>
  <si>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</si>
  <si>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</si>
  <si>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</si>
  <si>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</si>
  <si>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</si>
  <si>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</si>
  <si>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</si>
  <si>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</si>
  <si>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</si>
  <si>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</si>
  <si>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</si>
  <si>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</si>
  <si>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</si>
  <si>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</si>
  <si>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</si>
  <si>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</si>
  <si>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</si>
  <si>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</si>
  <si>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</si>
  <si>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</si>
  <si>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</si>
  <si>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</si>
  <si>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</si>
  <si>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</si>
  <si>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</si>
  <si>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</si>
  <si>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</si>
  <si>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</si>
  <si>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</si>
  <si>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</si>
  <si>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</si>
  <si>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</si>
  <si>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</si>
  <si>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</si>
  <si>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</si>
  <si>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</si>
  <si>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</si>
  <si>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</si>
  <si>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</si>
  <si>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</si>
  <si>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</si>
  <si>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</si>
  <si>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</si>
  <si>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</si>
  <si>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</si>
  <si>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</si>
  <si>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</si>
  <si>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</si>
  <si>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</si>
  <si>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</si>
  <si>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</si>
  <si>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</si>
  <si>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</si>
  <si>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</si>
  <si>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</si>
  <si>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</si>
  <si>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</si>
  <si>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</si>
  <si>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</si>
  <si>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</si>
  <si>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</si>
  <si>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</si>
  <si>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</si>
  <si>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</si>
  <si>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</si>
  <si>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</si>
  <si>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</si>
  <si>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</si>
  <si>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</si>
  <si>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</si>
  <si>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</si>
  <si>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</si>
  <si>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</si>
  <si>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</si>
  <si>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</si>
  <si>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</si>
  <si>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</si>
  <si>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</si>
  <si>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</si>
  <si>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</si>
  <si>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</si>
  <si>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</si>
  <si>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</si>
  <si>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</si>
  <si>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</si>
  <si>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</si>
  <si>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</si>
  <si>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</si>
  <si>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</si>
  <si>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</si>
  <si>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</si>
  <si>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</si>
  <si>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</si>
  <si>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</si>
  <si>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</si>
  <si>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</si>
  <si>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</si>
  <si>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</si>
  <si>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</si>
  <si>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</si>
  <si>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</si>
  <si>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</si>
  <si>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</si>
  <si>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</si>
  <si>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</si>
  <si>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</si>
  <si>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</si>
  <si>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</si>
  <si>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</si>
  <si>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</si>
  <si>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</si>
  <si>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</si>
  <si>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</si>
  <si>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</si>
  <si>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</si>
  <si>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</si>
  <si>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</si>
  <si>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</si>
  <si>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</si>
  <si>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</si>
  <si>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</si>
  <si>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</si>
  <si>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</si>
  <si>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</si>
  <si>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</si>
  <si>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</si>
  <si>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</si>
  <si>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</si>
  <si>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</si>
  <si>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</si>
  <si>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</si>
  <si>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</si>
  <si>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</si>
  <si>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</si>
  <si>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</si>
  <si>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</si>
  <si>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</si>
  <si>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</si>
  <si>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</si>
  <si>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</si>
  <si>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</si>
  <si>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</si>
  <si>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</si>
  <si>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</si>
  <si>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</si>
  <si>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</si>
  <si>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</si>
  <si>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</si>
  <si>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</si>
  <si>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</si>
  <si>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</si>
  <si>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</si>
  <si>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</si>
  <si>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</si>
  <si>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</si>
  <si>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</si>
  <si>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</si>
  <si>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</si>
  <si>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</si>
  <si>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</si>
  <si>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</si>
  <si>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</si>
  <si>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</si>
  <si>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</si>
  <si>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</si>
  <si>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</si>
  <si>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</si>
  <si>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</si>
  <si>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</si>
  <si>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</si>
  <si>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</si>
  <si>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</si>
  <si>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</si>
  <si>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</si>
  <si>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</si>
  <si>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</si>
  <si>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</si>
  <si>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</si>
  <si>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</si>
  <si>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</si>
  <si>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</si>
  <si>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</si>
  <si>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</si>
  <si>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</si>
  <si>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</si>
  <si>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</si>
  <si>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</si>
  <si>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</si>
  <si>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</si>
  <si>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</si>
  <si>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</si>
  <si>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</si>
  <si>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</si>
  <si>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</si>
  <si>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</si>
  <si>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</si>
  <si>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</si>
  <si>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</si>
  <si>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</si>
  <si>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</si>
  <si>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</si>
  <si>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</si>
  <si>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</si>
  <si>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</si>
  <si>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</si>
  <si>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</si>
  <si>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</si>
  <si>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</si>
  <si>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</si>
  <si>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</si>
  <si>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</si>
  <si>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</si>
  <si>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</si>
  <si>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</si>
  <si>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</si>
  <si>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</si>
  <si>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</si>
  <si>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</si>
  <si>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</si>
  <si>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</si>
  <si>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</si>
  <si>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</si>
  <si>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</si>
  <si>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</si>
  <si>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</si>
  <si>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</si>
  <si>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</si>
  <si>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</si>
  <si>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</si>
  <si>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</si>
  <si>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</si>
  <si>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</si>
  <si>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</si>
  <si>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</si>
  <si>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</si>
  <si>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</si>
  <si>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</si>
  <si>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</si>
  <si>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</si>
  <si>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</si>
  <si>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</si>
  <si>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</si>
  <si>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</si>
  <si>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</si>
  <si>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</si>
  <si>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</si>
  <si>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</si>
  <si>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</si>
  <si>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</si>
  <si>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</si>
  <si>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</si>
  <si>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</si>
  <si>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</si>
  <si>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</si>
  <si>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</si>
  <si>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</si>
  <si>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</si>
  <si>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</si>
  <si>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</si>
  <si>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</si>
  <si>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</si>
  <si>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</si>
  <si>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</si>
  <si>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</si>
  <si>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</si>
  <si>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</si>
  <si>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</si>
  <si>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</si>
  <si>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</si>
  <si>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</si>
  <si>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</si>
  <si>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</si>
  <si>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</si>
  <si>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</si>
  <si>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</si>
  <si>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</si>
  <si>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</si>
  <si>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</si>
  <si>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</si>
  <si>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</si>
  <si>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</si>
  <si>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</si>
  <si>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</si>
  <si>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</si>
  <si>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</si>
  <si>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</si>
  <si>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</si>
  <si>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</si>
  <si>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</si>
  <si>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</si>
  <si>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</si>
  <si>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</si>
  <si>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</si>
  <si>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</si>
  <si>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</si>
  <si>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</si>
  <si>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</si>
  <si>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</si>
  <si>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</si>
  <si>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</si>
  <si>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</si>
  <si>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</si>
  <si>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</si>
  <si>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</si>
  <si>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</si>
  <si>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</si>
  <si>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</si>
  <si>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</si>
  <si>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</si>
  <si>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</si>
  <si>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</si>
  <si>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</si>
  <si>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</si>
  <si>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</si>
  <si>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</si>
  <si>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</si>
  <si>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</si>
  <si>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</si>
  <si>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</si>
  <si>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</si>
  <si>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</si>
  <si>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</si>
  <si>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</si>
  <si>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</si>
  <si>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</si>
  <si>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</si>
  <si>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</si>
  <si>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</si>
  <si>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</si>
  <si>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</si>
  <si>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</si>
  <si>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</si>
  <si>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</si>
  <si>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</si>
  <si>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</si>
  <si>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</si>
  <si>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</si>
  <si>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</si>
  <si>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</si>
  <si>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</si>
  <si>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</si>
  <si>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</si>
  <si>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</si>
  <si>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</si>
  <si>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</si>
  <si>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</si>
  <si>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</si>
  <si>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</si>
  <si>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</si>
  <si>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</si>
  <si>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</si>
  <si>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</si>
  <si>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</si>
  <si>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</si>
  <si>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</si>
  <si>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</si>
  <si>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</si>
  <si>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</si>
  <si>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</si>
  <si>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</si>
  <si>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</si>
  <si>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</si>
  <si>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</si>
  <si>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</si>
  <si>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</si>
  <si>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</si>
  <si>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</si>
  <si>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</si>
  <si>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</si>
  <si>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</si>
  <si>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</si>
  <si>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</si>
  <si>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</si>
  <si>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</si>
  <si>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</si>
  <si>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</si>
  <si>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</si>
  <si>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</si>
  <si>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</si>
  <si>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</si>
  <si>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</si>
  <si>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</si>
  <si>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</si>
  <si>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</si>
  <si>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</si>
  <si>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</si>
  <si>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</si>
  <si>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</si>
  <si>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</si>
  <si>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</si>
  <si>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</si>
  <si>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</si>
  <si>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</si>
  <si>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</si>
  <si>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</si>
  <si>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</si>
  <si>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</si>
  <si>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</si>
  <si>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</si>
  <si>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</si>
  <si>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</si>
  <si>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</si>
  <si>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</si>
  <si>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</si>
  <si>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</si>
  <si>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</si>
  <si>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</si>
  <si>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</si>
  <si>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</si>
  <si>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</si>
  <si>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</si>
  <si>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</si>
  <si>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</si>
  <si>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</si>
  <si>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</si>
  <si>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</si>
  <si>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</si>
  <si>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</si>
  <si>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</si>
  <si>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</si>
  <si>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</si>
  <si>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</si>
  <si>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</si>
  <si>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</si>
  <si>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</si>
  <si>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</si>
  <si>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</si>
  <si>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</si>
  <si>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</si>
  <si>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</si>
  <si>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</si>
  <si>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</si>
  <si>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</si>
  <si>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</si>
  <si>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</si>
  <si>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</si>
  <si>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</si>
  <si>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</si>
  <si>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</si>
  <si>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</si>
  <si>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</si>
  <si>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</si>
  <si>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</si>
  <si>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</si>
  <si>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</si>
  <si>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</si>
  <si>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</si>
  <si>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</si>
  <si>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</si>
  <si>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</si>
  <si>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</si>
  <si>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</si>
  <si>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</si>
  <si>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</si>
  <si>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</si>
  <si>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</si>
  <si>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</si>
  <si>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</si>
  <si>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</si>
  <si>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</si>
  <si>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</si>
  <si>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</si>
  <si>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</si>
  <si>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</si>
  <si>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</si>
  <si>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</si>
  <si>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</si>
  <si>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</si>
  <si>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</si>
  <si>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</si>
  <si>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</si>
  <si>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</si>
  <si>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</si>
  <si>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</si>
  <si>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</si>
  <si>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</si>
  <si>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</si>
  <si>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</si>
  <si>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</si>
  <si>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</si>
  <si>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</si>
  <si>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</si>
  <si>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</si>
  <si>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</si>
  <si>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</si>
  <si>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</si>
  <si>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</si>
  <si>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</si>
  <si>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</si>
  <si>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</si>
  <si>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</si>
  <si>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</si>
  <si>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</si>
  <si>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</si>
  <si>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</si>
  <si>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</si>
  <si>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</si>
  <si>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</si>
  <si>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</si>
  <si>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</si>
  <si>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</si>
  <si>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</si>
  <si>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</si>
  <si>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</si>
  <si>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</si>
  <si>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</si>
  <si>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</si>
  <si>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</si>
  <si>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</si>
  <si>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</si>
  <si>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</si>
  <si>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</si>
  <si>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</si>
  <si>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</si>
  <si>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</si>
  <si>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</si>
  <si>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</si>
  <si>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</si>
  <si>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</si>
  <si>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</si>
  <si>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</si>
  <si>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</si>
  <si>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</si>
  <si>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</si>
  <si>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</si>
  <si>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</si>
  <si>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</si>
  <si>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</si>
  <si>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</si>
  <si>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</si>
  <si>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</si>
  <si>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</si>
  <si>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</si>
  <si>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</si>
  <si>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</si>
  <si>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</si>
  <si>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</si>
  <si>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</si>
  <si>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</si>
  <si>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</si>
  <si>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</si>
  <si>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</si>
  <si>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</si>
  <si>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</si>
  <si>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</si>
  <si>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</si>
  <si>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</si>
  <si>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</si>
  <si>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</si>
  <si>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</si>
  <si>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</si>
  <si>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</si>
  <si>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</si>
  <si>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</si>
  <si>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</si>
  <si>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</si>
  <si>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</si>
  <si>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</si>
  <si>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</si>
  <si>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</si>
  <si>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</si>
  <si>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</si>
  <si>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</si>
  <si>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</si>
  <si>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</si>
  <si>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</si>
  <si>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</si>
  <si>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</si>
  <si>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</si>
  <si>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</si>
  <si>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</si>
  <si>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</si>
  <si>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</si>
  <si>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</si>
  <si>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</si>
  <si>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</si>
  <si>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</si>
  <si>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</si>
  <si>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</si>
  <si>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</si>
  <si>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</si>
  <si>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</si>
  <si>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</si>
  <si>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</si>
  <si>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</si>
  <si>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</si>
  <si>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</si>
  <si>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</si>
  <si>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</si>
  <si>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</si>
  <si>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</si>
  <si>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</si>
  <si>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</si>
  <si>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</si>
  <si>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</si>
  <si>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</si>
  <si>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</si>
  <si>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</si>
  <si>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</si>
  <si>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</si>
  <si>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</si>
  <si>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</si>
  <si>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</si>
  <si>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</si>
  <si>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</si>
  <si>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</si>
  <si>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</si>
  <si>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</si>
  <si>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</si>
  <si>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</si>
  <si>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</si>
  <si>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</si>
  <si>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</si>
  <si>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</si>
  <si>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</si>
  <si>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</si>
  <si>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</si>
  <si>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</si>
  <si>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</si>
  <si>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</si>
  <si>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</si>
  <si>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</si>
  <si>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</si>
  <si>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</si>
  <si>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</si>
  <si>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</si>
  <si>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</si>
  <si>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</si>
  <si>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</si>
  <si>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</si>
  <si>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</si>
  <si>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</si>
  <si>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</si>
  <si>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</si>
  <si>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</si>
  <si>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</si>
  <si>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</si>
  <si>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</si>
  <si>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</si>
  <si>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</si>
  <si>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</si>
  <si>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</si>
  <si>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</si>
  <si>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</si>
  <si>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</si>
  <si>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</si>
  <si>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</si>
  <si>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</si>
  <si>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</si>
  <si>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</si>
  <si>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</si>
  <si>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</si>
  <si>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</si>
  <si>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</si>
  <si>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</si>
  <si>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</si>
  <si>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</si>
  <si>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</si>
  <si>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</si>
  <si>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</si>
  <si>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</si>
  <si>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</si>
  <si>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</si>
  <si>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</si>
  <si>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</si>
  <si>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</si>
  <si>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</si>
  <si>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</si>
  <si>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</si>
  <si>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</si>
  <si>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</si>
  <si>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</si>
  <si>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</si>
  <si>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</si>
  <si>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</si>
  <si>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</si>
  <si>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</si>
  <si>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</si>
  <si>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</si>
  <si>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</si>
  <si>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</si>
  <si>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</si>
  <si>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</si>
  <si>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</si>
  <si>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</si>
  <si>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</si>
  <si>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</si>
  <si>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</si>
  <si>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</si>
  <si>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</si>
  <si>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</si>
  <si>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</si>
  <si>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</si>
  <si>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</si>
  <si>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</si>
  <si>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</si>
  <si>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</si>
  <si>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</si>
  <si>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</si>
  <si>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</si>
  <si>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</si>
  <si>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</si>
  <si>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</si>
  <si>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</si>
  <si>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</si>
  <si>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</si>
  <si>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</si>
  <si>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</si>
  <si>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</si>
  <si>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</si>
  <si>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</si>
  <si>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</si>
  <si>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</si>
  <si>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</si>
  <si>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</si>
  <si>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</si>
  <si>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</si>
  <si>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</si>
  <si>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</si>
  <si>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</si>
  <si>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</si>
  <si>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</si>
  <si>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</si>
  <si>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</si>
  <si>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</si>
  <si>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</si>
  <si>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</si>
  <si>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</si>
  <si>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</si>
  <si>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</si>
  <si>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</si>
  <si>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</si>
  <si>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</si>
  <si>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</si>
  <si>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</si>
  <si>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</si>
  <si>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</si>
  <si>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</si>
  <si>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</si>
  <si>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</si>
  <si>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</si>
  <si>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</si>
  <si>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</si>
  <si>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</si>
  <si>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</si>
  <si>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</si>
  <si>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</si>
  <si>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</si>
  <si>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</si>
  <si>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</si>
  <si>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</si>
  <si>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</si>
  <si>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</si>
  <si>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</si>
  <si>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</si>
  <si>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</si>
  <si>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</si>
  <si>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</si>
  <si>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</si>
  <si>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</si>
  <si>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</si>
  <si>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</si>
  <si>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</si>
  <si>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</si>
  <si>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</si>
  <si>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</si>
  <si>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</si>
  <si>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</si>
  <si>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</si>
  <si>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</si>
  <si>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</si>
  <si>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</si>
  <si>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</si>
  <si>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</si>
  <si>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</si>
  <si>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</si>
  <si>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</si>
  <si>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</si>
  <si>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</si>
  <si>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</si>
  <si>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</si>
  <si>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</si>
  <si>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</si>
  <si>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</si>
  <si>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</si>
  <si>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</si>
  <si>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</si>
  <si>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</si>
  <si>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</si>
  <si>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</si>
  <si>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</si>
  <si>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</si>
  <si>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</si>
  <si>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</si>
  <si>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</si>
  <si>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</si>
  <si>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</si>
  <si>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</si>
  <si>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</si>
  <si>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</si>
  <si>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</si>
  <si>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</si>
  <si>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</si>
  <si>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</si>
  <si>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</si>
  <si>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</si>
  <si>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</si>
  <si>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</si>
  <si>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</si>
  <si>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</si>
  <si>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</si>
  <si>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</si>
  <si>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</si>
  <si>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</si>
  <si>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</si>
  <si>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</si>
  <si>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</si>
  <si>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</si>
  <si>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</si>
  <si>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</si>
  <si>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</si>
  <si>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</si>
  <si>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</si>
  <si>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</si>
  <si>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</si>
  <si>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</si>
  <si>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</si>
  <si>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</si>
  <si>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</si>
  <si>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</si>
  <si>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</si>
  <si>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</si>
  <si>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</si>
  <si>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</si>
  <si>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</si>
  <si>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</si>
  <si>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</si>
  <si>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</si>
  <si>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</si>
  <si>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</si>
  <si>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</si>
  <si>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</si>
  <si>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</si>
  <si>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</si>
  <si>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</si>
  <si>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</si>
  <si>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</si>
  <si>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</si>
  <si>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</si>
  <si>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</si>
  <si>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</si>
  <si>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</si>
  <si>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</si>
  <si>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</si>
  <si>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</si>
  <si>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</si>
  <si>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</si>
  <si>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</si>
  <si>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</si>
  <si>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</si>
  <si>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</si>
  <si>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</si>
  <si>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</si>
  <si>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</si>
  <si>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</si>
  <si>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</si>
  <si>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</si>
  <si>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</si>
  <si>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</si>
  <si>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</si>
  <si>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</si>
  <si>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</si>
  <si>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</si>
  <si>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</si>
  <si>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</si>
  <si>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</si>
  <si>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</si>
  <si>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04/02</t>
  </si>
  <si>
    <t>07/22</t>
  </si>
  <si>
    <t>02/04</t>
  </si>
  <si>
    <t>08/16</t>
  </si>
  <si>
    <t>06/05</t>
  </si>
  <si>
    <t>08/25</t>
  </si>
  <si>
    <t>07/08</t>
  </si>
  <si>
    <t>07/28</t>
  </si>
  <si>
    <t>GF = $240,000 Impact Fees</t>
  </si>
  <si>
    <t>$1,301,335.45 =</t>
  </si>
  <si>
    <t>Lease Payment = $378,641.70</t>
  </si>
  <si>
    <t>Interest Payment = $922,693.75</t>
  </si>
  <si>
    <t>LONDONDERRY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</si>
</sst>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22B-B5B7-40ED-A29D-B647CB9539A6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906</v>
      </c>
      <c r="B2" s="21">
        <v>319</v>
      </c>
      <c r="C2" s="21">
        <v>319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1573284.83</v>
      </c>
      <c r="G9" s="18">
        <v>6600</v>
      </c>
      <c r="H9" s="18"/>
      <c r="I9" s="18"/>
      <c r="J9" s="67">
        <f>SUM(I431)</f>
        <v>323364.69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134512.29</v>
      </c>
      <c r="H12" s="18"/>
      <c r="I12" s="18">
        <v>94594.45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63379.02</v>
      </c>
      <c r="G13" s="18">
        <v>14316.25</v>
      </c>
      <c r="H13" s="18">
        <v>164779.69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5994</v>
      </c>
      <c r="G14" s="18">
        <v>1286.58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40210.61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11153.96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1653811.81</v>
      </c>
      <c r="G19" s="41">
        <f>SUM(G9:G18)</f>
        <v>196925.72999999998</v>
      </c>
      <c r="H19" s="41">
        <f>SUM(H9:H18)</f>
        <v>164779.69</v>
      </c>
      <c r="I19" s="41">
        <f>SUM(I9:I18)</f>
        <v>94594.45</v>
      </c>
      <c r="J19" s="41">
        <f>SUM(J9:J18)</f>
        <v>323364.69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111297.62</v>
      </c>
      <c r="G23" s="18"/>
      <c r="H23" s="18">
        <v>54985.37</v>
      </c>
      <c r="I23" s="18"/>
      <c r="J23" s="67">
        <f>SUM(I440)</f>
        <v>62823.75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248142.73</v>
      </c>
      <c r="G25" s="18">
        <v>32586.93</v>
      </c>
      <c r="H25" s="18">
        <v>2354.46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484622.39</v>
      </c>
      <c r="G29" s="18">
        <v>7480.46</v>
      </c>
      <c r="H29" s="18">
        <v>22839.15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228303.49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-12097.79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1060268.44</v>
      </c>
      <c r="G33" s="41">
        <f>SUM(G23:G32)</f>
        <v>40067.39</v>
      </c>
      <c r="H33" s="41">
        <f>SUM(H23:H32)</f>
        <v>80178.98000000001</v>
      </c>
      <c r="I33" s="41">
        <f>SUM(I23:I32)</f>
        <v>0</v>
      </c>
      <c r="J33" s="41">
        <f>SUM(J23:J32)</f>
        <v>62823.75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40210.61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8300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>
        <v>84600.71</v>
      </c>
      <c r="I38" s="18">
        <v>94594.45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116647.73</v>
      </c>
      <c r="H41" s="18"/>
      <c r="I41" s="18"/>
      <c r="J41" s="13">
        <f>SUM(I449)</f>
        <v>260540.94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585243.37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593543.37</v>
      </c>
      <c r="G43" s="41">
        <f>SUM(G35:G42)</f>
        <v>156858.34</v>
      </c>
      <c r="H43" s="41">
        <f>SUM(H35:H42)</f>
        <v>84600.71</v>
      </c>
      <c r="I43" s="41">
        <f>SUM(I35:I42)</f>
        <v>94594.45</v>
      </c>
      <c r="J43" s="41">
        <f>SUM(J35:J42)</f>
        <v>260540.94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1653811.81</v>
      </c>
      <c r="G44" s="41">
        <f>G43+G33</f>
        <v>196925.72999999998</v>
      </c>
      <c r="H44" s="41">
        <f>H43+H33</f>
        <v>164779.69</v>
      </c>
      <c r="I44" s="41">
        <f>I43+I33</f>
        <v>94594.45</v>
      </c>
      <c r="J44" s="41">
        <f>J43+J33</f>
        <v>323364.69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39024073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39024073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84095.8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32085.5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11503.7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4000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66065.679999999993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197750.68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0</v>
      </c>
      <c r="G88" s="18">
        <v>283.97000000000003</v>
      </c>
      <c r="H88" s="18"/>
      <c r="I88" s="18"/>
      <c r="J88" s="18">
        <v>1323.93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998552.53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17429.98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59769.5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1731.8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240891.58</v>
      </c>
      <c r="G102" s="18">
        <v>10081.549999999999</v>
      </c>
      <c r="H102" s="18">
        <v>12182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318091.06</v>
      </c>
      <c r="G103" s="41">
        <f>SUM(G88:G102)</f>
        <v>1008918.05</v>
      </c>
      <c r="H103" s="41">
        <f>SUM(H88:H102)</f>
        <v>13913.8</v>
      </c>
      <c r="I103" s="41">
        <f>SUM(I88:I102)</f>
        <v>0</v>
      </c>
      <c r="J103" s="41">
        <f>SUM(J88:J102)</f>
        <v>1323.93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39539914.740000002</v>
      </c>
      <c r="G104" s="41">
        <f>G52+G103</f>
        <v>1008918.05</v>
      </c>
      <c r="H104" s="41">
        <f>H52+H71+H86+H103</f>
        <v>13913.8</v>
      </c>
      <c r="I104" s="41">
        <f>I52+I103</f>
        <v>0</v>
      </c>
      <c r="J104" s="41">
        <f>J52+J103</f>
        <v>1323.93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10705395.390000001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6516468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4107326.61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21329190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647399.4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386960.63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22001.279999999999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23031.99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54450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1056361.31</v>
      </c>
      <c r="G128" s="41">
        <f>SUM(G115:G127)</f>
        <v>23031.99</v>
      </c>
      <c r="H128" s="41">
        <f>SUM(H115:H127)</f>
        <v>54450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22385551.309999999</v>
      </c>
      <c r="G132" s="41">
        <f>G113+SUM(G128:G129)</f>
        <v>23031.99</v>
      </c>
      <c r="H132" s="41">
        <f>H113+SUM(H128:H131)</f>
        <v>54450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7938.58</v>
      </c>
      <c r="G138" s="18">
        <v>1201.47</v>
      </c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7938.58</v>
      </c>
      <c r="G139" s="41">
        <f>SUM(G137:G138)</f>
        <v>1201.47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225281.17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182313.56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86364.1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33867.93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234198.38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1327223.07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355560.18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54436.13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355560.18</v>
      </c>
      <c r="G154" s="41">
        <f>SUM(G142:G153)</f>
        <v>288634.51</v>
      </c>
      <c r="H154" s="41">
        <f>SUM(H142:H153)</f>
        <v>1855049.83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363498.76</v>
      </c>
      <c r="G161" s="41">
        <f>G139+G154+SUM(G155:G160)</f>
        <v>289835.98</v>
      </c>
      <c r="H161" s="41">
        <f>H139+H154+SUM(H155:H160)</f>
        <v>1855049.83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450000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450000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377516.72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377516.72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308944.32</v>
      </c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686461.04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450000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62975425.849999994</v>
      </c>
      <c r="G185" s="47">
        <f>G104+G132+G161+G184</f>
        <v>1321786.02</v>
      </c>
      <c r="H185" s="47">
        <f>H104+H132+H161+H184</f>
        <v>1923413.6300000001</v>
      </c>
      <c r="I185" s="47">
        <f>I104+I132+I161+I184</f>
        <v>0</v>
      </c>
      <c r="J185" s="47">
        <f>J104+J132+J184</f>
        <v>451323.93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6167198.98+755177.27+18367.55+201416.05</f>
        <v>7142159.8499999996</v>
      </c>
      <c r="G189" s="18">
        <f>473255.27+8525.97+247.15+1407777.48+384.2+27300+24998.66+544961.33+39736.87+6678.32+30201.88+4360.04+51374.84-0.03</f>
        <v>2619801.98</v>
      </c>
      <c r="H189" s="18">
        <f>1958.35+506.24+99182.08+869.3+335.8</f>
        <v>102851.77</v>
      </c>
      <c r="I189" s="18">
        <f>99562.87+137208.63+461.65+11517.49+101302.5</f>
        <v>350053.14</v>
      </c>
      <c r="J189" s="18">
        <f>1547.07+8817.19</f>
        <v>10364.26</v>
      </c>
      <c r="K189" s="18"/>
      <c r="L189" s="19">
        <f>SUM(F189:K189)</f>
        <v>10225231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208862.32+72130.34+1492536.93+1322199.08+146177.43+267305.2+191918.73</f>
        <v>3701130.0300000003</v>
      </c>
      <c r="G190" s="18">
        <f>180327.32+9040.9+1447.89+716925.22+267844.36+32246.48+12600+14498.82+316068.77+10400+3873.32+17516.6+2528.75+29796.57</f>
        <v>1615115.0000000002</v>
      </c>
      <c r="H190" s="18">
        <f>193600.34+19817.39</f>
        <v>213417.72999999998</v>
      </c>
      <c r="I190" s="18">
        <f>4616.92+15425.48+3860.41+1958.11</f>
        <v>25860.920000000002</v>
      </c>
      <c r="J190" s="18">
        <v>8238.3799999999992</v>
      </c>
      <c r="K190" s="18">
        <f>863.85+2296.5</f>
        <v>3160.35</v>
      </c>
      <c r="L190" s="19">
        <f>SUM(F190:K190)</f>
        <v>5566922.4099999992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17780+7961+53985.71+45996.86</f>
        <v>125723.56999999999</v>
      </c>
      <c r="G192" s="18">
        <f>430.45+9383.55+114.99+520.04+75.07+884.61</f>
        <v>11408.71</v>
      </c>
      <c r="H192" s="18"/>
      <c r="I192" s="18">
        <f>4372.28</f>
        <v>4372.28</v>
      </c>
      <c r="J192" s="18"/>
      <c r="K192" s="18"/>
      <c r="L192" s="19">
        <f>SUM(F192:K192)</f>
        <v>141504.56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266122.22+50690.13+68463.27+236616.35+549553.1+6950.68+594633.46</f>
        <v>1773029.2099999997</v>
      </c>
      <c r="G194" s="18">
        <f>135308.97+4888.43+388765.09+8784.41+22400.06+6492.03+141523.74+9395.96+2184+1734.33+7843.28+1132.28+13341.79</f>
        <v>743794.37000000011</v>
      </c>
      <c r="H194" s="18">
        <f>86900.87</f>
        <v>86900.87</v>
      </c>
      <c r="I194" s="18">
        <f>562.07+6487.1+999.78</f>
        <v>8048.95</v>
      </c>
      <c r="J194" s="18"/>
      <c r="K194" s="18">
        <f>235</f>
        <v>235</v>
      </c>
      <c r="L194" s="19">
        <f t="shared" ref="L194:L200" si="0">SUM(F194:K194)</f>
        <v>2612008.4000000004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14533.4+196504.6+104227.6+128213.88</f>
        <v>443479.48</v>
      </c>
      <c r="G195" s="18">
        <f>133215.8+7349.91+14971.1+7098.87+35920.74+6754.5+1614.49+35195.19+46880.08+2184+431.31+1950.53+281.58+3317.94</f>
        <v>297166.04000000004</v>
      </c>
      <c r="H195" s="18">
        <f>5000+6693.45</f>
        <v>11693.45</v>
      </c>
      <c r="I195" s="18">
        <f>8324.99+40527.83+869.38+5405.64</f>
        <v>55127.839999999997</v>
      </c>
      <c r="J195" s="18">
        <f>11255.1</f>
        <v>11255.1</v>
      </c>
      <c r="K195" s="18">
        <f>1311.66</f>
        <v>1311.66</v>
      </c>
      <c r="L195" s="19">
        <f t="shared" si="0"/>
        <v>820033.57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141273.42</f>
        <v>141273.42000000001</v>
      </c>
      <c r="G196" s="18">
        <f>16923.91+28841.64+483.46+10539.29+5292+129.16+584.09+84.32+993.57</f>
        <v>63871.44</v>
      </c>
      <c r="H196" s="18">
        <f>52649.8</f>
        <v>52649.8</v>
      </c>
      <c r="I196" s="18">
        <f>14286.18</f>
        <v>14286.18</v>
      </c>
      <c r="J196" s="18">
        <f>1301.17</f>
        <v>1301.17</v>
      </c>
      <c r="K196" s="18">
        <f>6200.03</f>
        <v>6200.03</v>
      </c>
      <c r="L196" s="19">
        <f t="shared" si="0"/>
        <v>279582.04000000004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541079.95+205149.23+6060.74</f>
        <v>752289.91999999993</v>
      </c>
      <c r="G197" s="18">
        <f>55312.66+146121.64+2576.36+56163.71+36400+688.27+3112.61+449.35+5294.69</f>
        <v>306119.28999999998</v>
      </c>
      <c r="H197" s="18">
        <f>12453.75+256.91+3804.86+4516.89</f>
        <v>21032.41</v>
      </c>
      <c r="I197" s="18">
        <f>2945.52</f>
        <v>2945.52</v>
      </c>
      <c r="J197" s="18"/>
      <c r="K197" s="18">
        <f>6369</f>
        <v>6369</v>
      </c>
      <c r="L197" s="19">
        <f t="shared" si="0"/>
        <v>1088756.1399999999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f>200073.22</f>
        <v>200073.22</v>
      </c>
      <c r="G198" s="18">
        <f>19080.33+46557.02+685.43+14942.13+5292+183.11+828.1+119.55+1408.63</f>
        <v>89096.300000000017</v>
      </c>
      <c r="H198" s="18">
        <f>14304.87</f>
        <v>14304.87</v>
      </c>
      <c r="I198" s="18"/>
      <c r="J198" s="18"/>
      <c r="K198" s="18"/>
      <c r="L198" s="19">
        <f t="shared" si="0"/>
        <v>303474.39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541074.85+60714.31+293415.86</f>
        <v>895205.0199999999</v>
      </c>
      <c r="G199" s="18">
        <f>59918.73+5025.82+138206.26+15608.75+3064.87+66813.07+2184+818.77+3702.8+534.55+6298.63</f>
        <v>302176.25</v>
      </c>
      <c r="H199" s="18">
        <f>4426.39+3040.56+13746.27+25172.42+6526.8+97404.73+16345.96+174865.74</f>
        <v>341528.87</v>
      </c>
      <c r="I199" s="18">
        <f>78489.66+5056.87+70207.66+161426.6+14226.41+5103.24</f>
        <v>334510.44</v>
      </c>
      <c r="J199" s="18">
        <f>3004.73+7958.63+886.73+1039+19308.05</f>
        <v>32197.14</v>
      </c>
      <c r="K199" s="18">
        <f>239.4</f>
        <v>239.4</v>
      </c>
      <c r="L199" s="19">
        <f t="shared" si="0"/>
        <v>1905857.1199999999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1080.06+1533909</f>
        <v>1534989.06</v>
      </c>
      <c r="I200" s="18"/>
      <c r="J200" s="18"/>
      <c r="K200" s="18"/>
      <c r="L200" s="19">
        <f t="shared" si="0"/>
        <v>1534989.06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166534.67</f>
        <v>166534.67000000001</v>
      </c>
      <c r="G201" s="18">
        <f>4786.43+9307.81+7159.2+26072.63+570.56+12438.02+152.42+689.32+99.51+1172.56</f>
        <v>62448.459999999992</v>
      </c>
      <c r="H201" s="18">
        <f>75169.43</f>
        <v>75169.429999999993</v>
      </c>
      <c r="I201" s="18">
        <f>46905.6</f>
        <v>46905.599999999999</v>
      </c>
      <c r="J201" s="18">
        <f>57626.18</f>
        <v>57626.18</v>
      </c>
      <c r="K201" s="18"/>
      <c r="L201" s="19">
        <f>SUM(F201:K201)</f>
        <v>408684.33999999997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15340898.389999999</v>
      </c>
      <c r="G203" s="41">
        <f t="shared" si="1"/>
        <v>6110997.8400000008</v>
      </c>
      <c r="H203" s="41">
        <f t="shared" si="1"/>
        <v>2454538.2600000002</v>
      </c>
      <c r="I203" s="41">
        <f t="shared" si="1"/>
        <v>842110.87</v>
      </c>
      <c r="J203" s="41">
        <f t="shared" si="1"/>
        <v>120982.23</v>
      </c>
      <c r="K203" s="41">
        <f t="shared" si="1"/>
        <v>17515.440000000002</v>
      </c>
      <c r="L203" s="41">
        <f t="shared" si="1"/>
        <v>24887043.030000001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4103309.12+70935.71+17340+135222.5+0.01</f>
        <v>4326807.34</v>
      </c>
      <c r="G207" s="18">
        <f>318518.31+3623.83+984904.52+4488.1+15600+14815.66+322975.72+2600+3957.96+17899.39+2584.01+30447.71+0.05</f>
        <v>1722415.26</v>
      </c>
      <c r="H207" s="18">
        <f>3189.25+42745.84+120+28842.43+335.8</f>
        <v>75233.319999999992</v>
      </c>
      <c r="I207" s="18">
        <f>107508.4+356+37469.61+3759.96+13785.24</f>
        <v>162879.21</v>
      </c>
      <c r="J207" s="18">
        <f>1753.54</f>
        <v>1753.54</v>
      </c>
      <c r="K207" s="18"/>
      <c r="L207" s="19">
        <f>SUM(F207:K207)</f>
        <v>6289088.6699999999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81370.12+25276.2+758705.7+386077.94+179448.06+63340.52</f>
        <v>1494218.54</v>
      </c>
      <c r="G208" s="18">
        <f>89011.34+4496.14+756.85+290325.56+37229+7946.4+7200+5538.99+120747.84+5200+1479.72+6691.87+966.06+11383.19</f>
        <v>588972.96</v>
      </c>
      <c r="H208" s="18">
        <f>467317.88+14221.05</f>
        <v>481538.93</v>
      </c>
      <c r="I208" s="18">
        <f>3416.2+6363.67+4220.51+1425.62</f>
        <v>15426</v>
      </c>
      <c r="J208" s="18">
        <f>210</f>
        <v>210</v>
      </c>
      <c r="K208" s="18">
        <f>2296.5</f>
        <v>2296.5</v>
      </c>
      <c r="L208" s="19">
        <f>SUM(F208:K208)</f>
        <v>2582662.9300000002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33891+18749.91+54384.5+6070.65+32458.6</f>
        <v>145554.66</v>
      </c>
      <c r="G210" s="18">
        <f>498.61+10869.51+1300+133.2+602.39+86.96+1024.7</f>
        <v>14515.37</v>
      </c>
      <c r="H210" s="18">
        <f>11490</f>
        <v>11490</v>
      </c>
      <c r="I210" s="18">
        <f>1197.85+1121.13+1202.31+365.59</f>
        <v>3886.88</v>
      </c>
      <c r="J210" s="18">
        <f>6007.99</f>
        <v>6007.99</v>
      </c>
      <c r="K210" s="18">
        <f>2905</f>
        <v>2905</v>
      </c>
      <c r="L210" s="19">
        <f>SUM(F210:K210)</f>
        <v>184359.9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38147.8+200284.14+59505.01+92750.41+37206.56+121627.47+204254.72</f>
        <v>753776.11</v>
      </c>
      <c r="G212" s="18">
        <f>40772.8+2555.32+149570.31+5019.66+13003.44+12800.04+2648.31+57732.22+1248+707.49+3199.53+461.89+5442.56</f>
        <v>295161.57</v>
      </c>
      <c r="H212" s="18">
        <f>83156.62</f>
        <v>83156.62</v>
      </c>
      <c r="I212" s="18">
        <f>1195.31+498.33+4406.82+277.16</f>
        <v>6377.619999999999</v>
      </c>
      <c r="J212" s="18"/>
      <c r="K212" s="18">
        <f>160+205</f>
        <v>365</v>
      </c>
      <c r="L212" s="19">
        <f t="shared" ref="L212:L218" si="2">SUM(F212:K212)</f>
        <v>1138836.92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18261+119776.13+32252.33+73265.08</f>
        <v>243554.54000000004</v>
      </c>
      <c r="G213" s="18">
        <f>70268.59+4199.95+13132.73+3710.77+17292.82+3859.72+834.38+18189.23+15285.85+1248+222.9+1008.05+145.53+1714.74</f>
        <v>151113.25999999998</v>
      </c>
      <c r="H213" s="18">
        <f>3824.83</f>
        <v>3824.83</v>
      </c>
      <c r="I213" s="18">
        <f>2550.98+28565.62+433+3088.93</f>
        <v>34638.53</v>
      </c>
      <c r="J213" s="18">
        <f>11987.29</f>
        <v>11987.29</v>
      </c>
      <c r="K213" s="18">
        <f>749.52</f>
        <v>749.52</v>
      </c>
      <c r="L213" s="19">
        <f t="shared" si="2"/>
        <v>445867.97000000003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80727.67</f>
        <v>80727.67</v>
      </c>
      <c r="G214" s="18">
        <f>8846.59+16480.94+276.44+6026.39+3024+73.85+333.98+48.21+568.12</f>
        <v>35678.520000000004</v>
      </c>
      <c r="H214" s="18">
        <f>30085.6</f>
        <v>30085.599999999999</v>
      </c>
      <c r="I214" s="18">
        <f>8163.53</f>
        <v>8163.53</v>
      </c>
      <c r="J214" s="18">
        <f>743.53</f>
        <v>743.53</v>
      </c>
      <c r="K214" s="18">
        <f>3542.87</f>
        <v>3542.87</v>
      </c>
      <c r="L214" s="19">
        <f t="shared" si="2"/>
        <v>158941.72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357403.48+59302.05+3463.28</f>
        <v>420168.81</v>
      </c>
      <c r="G215" s="18">
        <f>31622.08+74056.77+1439.03+31370.22+20800+384.43+1738.54+250.98+2957.35</f>
        <v>164619.40000000002</v>
      </c>
      <c r="H215" s="18">
        <f>8164.27+4066.84+5379.72+2581.08</f>
        <v>20191.910000000003</v>
      </c>
      <c r="I215" s="18">
        <f>909.79</f>
        <v>909.79</v>
      </c>
      <c r="J215" s="18"/>
      <c r="K215" s="18">
        <f>1840</f>
        <v>1840</v>
      </c>
      <c r="L215" s="19">
        <f t="shared" si="2"/>
        <v>607729.91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f>114327.55</f>
        <v>114327.55</v>
      </c>
      <c r="G216" s="18">
        <f>9973.81+26604.01+391.31+8530.5+3024+104.54+472.76+68.25+804.19</f>
        <v>49973.37</v>
      </c>
      <c r="H216" s="18">
        <f>8174.21</f>
        <v>8174.21</v>
      </c>
      <c r="I216" s="18"/>
      <c r="J216" s="18"/>
      <c r="K216" s="18"/>
      <c r="L216" s="19">
        <f t="shared" si="2"/>
        <v>172475.13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312967.58+34940.28+182189.96</f>
        <v>530097.81999999995</v>
      </c>
      <c r="G217" s="18">
        <f>32811.99+2627.13+71013.58+8919.28+1815.19+39570.51+1248+484.92+2193.01+316.59+3730.41</f>
        <v>164730.61000000002</v>
      </c>
      <c r="H217" s="18">
        <f>3299.25+104.75+6747.8+9998.2+3704.4+36181.01+6642.71+147035.49</f>
        <v>213713.61</v>
      </c>
      <c r="I217" s="18">
        <f>27301.98+2237.32+31104.86+112740.02+2952.17</f>
        <v>176336.35</v>
      </c>
      <c r="J217" s="18">
        <f>421.62+1458.83+675+57413+12863.83</f>
        <v>72832.28</v>
      </c>
      <c r="K217" s="18">
        <f>136.8</f>
        <v>136.80000000000001</v>
      </c>
      <c r="L217" s="19">
        <f t="shared" si="2"/>
        <v>1157847.47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17613.15+5137+551817.44</f>
        <v>574567.59</v>
      </c>
      <c r="I218" s="18"/>
      <c r="J218" s="18"/>
      <c r="K218" s="18"/>
      <c r="L218" s="19">
        <f t="shared" si="2"/>
        <v>574567.59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95162.67</f>
        <v>95162.67</v>
      </c>
      <c r="G219" s="18">
        <f>3471.47+4865.45+15541.92+14898.64+325.67+7099.58+87+393.46+56.8+669.29</f>
        <v>47409.279999999999</v>
      </c>
      <c r="H219" s="18">
        <f>42953.96</f>
        <v>42953.96</v>
      </c>
      <c r="I219" s="18">
        <f>26803.2</f>
        <v>26803.200000000001</v>
      </c>
      <c r="J219" s="18">
        <f>32929.24</f>
        <v>32929.24</v>
      </c>
      <c r="K219" s="18"/>
      <c r="L219" s="19">
        <f>SUM(F219:K219)</f>
        <v>245258.35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8204395.71</v>
      </c>
      <c r="G221" s="41">
        <f>SUM(G207:G220)</f>
        <v>3234589.5999999992</v>
      </c>
      <c r="H221" s="41">
        <f>SUM(H207:H220)</f>
        <v>1544930.5799999998</v>
      </c>
      <c r="I221" s="41">
        <f>SUM(I207:I220)</f>
        <v>435421.11000000004</v>
      </c>
      <c r="J221" s="41">
        <f>SUM(J207:J220)</f>
        <v>126463.87</v>
      </c>
      <c r="K221" s="41">
        <f t="shared" si="3"/>
        <v>11835.689999999999</v>
      </c>
      <c r="L221" s="41">
        <f t="shared" si="3"/>
        <v>13557636.560000002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5850515.71+98021.67+27972.2+183812.86</f>
        <v>6160322.4400000004</v>
      </c>
      <c r="G225" s="18">
        <f>463331.16+6471.7+1416685.64+9276.2+39960+22100+21093.09+459821.44+2600+5634.96+25483.41+3678.86+43348.49+181.77+3962.55+48.56+219.61+31.7+373.56+0.02</f>
        <v>2524302.7200000002</v>
      </c>
      <c r="H225" s="18">
        <f>16278.75+84653.11+4182.63+336.55+3131.38-0.01+715.13</f>
        <v>109297.54000000002</v>
      </c>
      <c r="I225" s="18">
        <f>181350.79+716.31+383.13+49395.31+7435.68+83444.25</f>
        <v>322725.46999999997</v>
      </c>
      <c r="J225" s="18">
        <f>10956.19+29765.48+11092.63</f>
        <v>51814.299999999996</v>
      </c>
      <c r="K225" s="18">
        <f>2780</f>
        <v>2780</v>
      </c>
      <c r="L225" s="19">
        <f>SUM(F225:K225)</f>
        <v>9171242.4700000007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81370.12+23094.23+1010929.58+425896.68+70534.39</f>
        <v>1611824.9999999998</v>
      </c>
      <c r="G226" s="18">
        <f>102323.1+4563.07+1085.93+293707.5+71142.94+22947.6+10200+6913.64+150714.66+5200+1846.96+8352.64+1205.81+14208.24</f>
        <v>694412.09</v>
      </c>
      <c r="H226" s="18">
        <f>655609.72+19026.57</f>
        <v>674636.28999999992</v>
      </c>
      <c r="I226" s="18">
        <f>6052.63+133.08+145.22</f>
        <v>6330.93</v>
      </c>
      <c r="J226" s="18"/>
      <c r="K226" s="18">
        <f>530</f>
        <v>530</v>
      </c>
      <c r="L226" s="19">
        <f>SUM(F226:K226)</f>
        <v>2987734.31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99028.25</v>
      </c>
      <c r="I227" s="18"/>
      <c r="J227" s="18"/>
      <c r="K227" s="18"/>
      <c r="L227" s="19">
        <f>SUM(F227:K227)</f>
        <v>99028.25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58214.5+56250.21+91049.28+218853.5+49242.55+25945.03</f>
        <v>499555.06999999995</v>
      </c>
      <c r="G228" s="18">
        <f>12183.61+42107.8+1710.42+37286.54+3900+456.93+2066.43+298.32+3515.09</f>
        <v>103525.13999999998</v>
      </c>
      <c r="H228" s="18">
        <f>53587.09+17212.11+42358.25</f>
        <v>113157.45</v>
      </c>
      <c r="I228" s="18">
        <f>4316.2+25041.66+841.2+365.59</f>
        <v>30564.65</v>
      </c>
      <c r="J228" s="18">
        <f>4722.9+54125.44+39050.81+18023.96</f>
        <v>115923.10999999999</v>
      </c>
      <c r="K228" s="18">
        <f>1058+21746.45</f>
        <v>22804.45</v>
      </c>
      <c r="L228" s="19">
        <f>SUM(F228:K228)</f>
        <v>885529.86999999988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137437.04+55956.75+457052.98+64698.92+17787.61+75177.06+78281.53+85796.72+178042.16</f>
        <v>1150230.77</v>
      </c>
      <c r="G230" s="18">
        <f>91138.44+3666.32+231879.95+58949.31+7111.19+18133.38+4123.95+89900.46+12168+1101.7+4982.3+719.26+8475.14</f>
        <v>532349.4</v>
      </c>
      <c r="H230" s="18">
        <f>1422.04+176.67+2766.08+48.25+20097.23</f>
        <v>24510.27</v>
      </c>
      <c r="I230" s="18">
        <f>3208.58+2180+3143.84+2428.6+346.6</f>
        <v>11307.62</v>
      </c>
      <c r="J230" s="18"/>
      <c r="K230" s="18">
        <f>315+1179</f>
        <v>1494</v>
      </c>
      <c r="L230" s="19">
        <f t="shared" ref="L230:L236" si="4">SUM(F230:K230)</f>
        <v>1719892.06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18815.37+196364.3+50204.58+103792.19</f>
        <v>369176.44</v>
      </c>
      <c r="G231" s="18">
        <f>91095.69+5949.93+19565.57+5324.15+75268.6+5467.93+1263.57+27545.26+21654.95+1768+337.56+1526.56+220.38+2596.76</f>
        <v>259584.91000000003</v>
      </c>
      <c r="H231" s="18">
        <f>5418.51</f>
        <v>5418.51</v>
      </c>
      <c r="I231" s="18">
        <f>5760.74+54224.82+1838.35+4375.99</f>
        <v>66199.899999999994</v>
      </c>
      <c r="J231" s="18">
        <f>40642.2</f>
        <v>40642.199999999997</v>
      </c>
      <c r="K231" s="18">
        <f>1061.82</f>
        <v>1061.82</v>
      </c>
      <c r="L231" s="19">
        <f t="shared" si="4"/>
        <v>742083.78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114364.2</f>
        <v>114364.2</v>
      </c>
      <c r="G232" s="18">
        <f>12692.93+23347.99+391.31+8530.5+4284+104.54+472.76+68.25+804.19</f>
        <v>50696.47</v>
      </c>
      <c r="H232" s="18">
        <f>42621.26</f>
        <v>42621.26</v>
      </c>
      <c r="I232" s="18">
        <f>11565</f>
        <v>11565</v>
      </c>
      <c r="J232" s="18">
        <f>1053.33</f>
        <v>1053.33</v>
      </c>
      <c r="K232" s="18">
        <f>5019.07</f>
        <v>5019.07</v>
      </c>
      <c r="L232" s="19">
        <f t="shared" si="4"/>
        <v>225319.33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532893.67+191722.15+5121.5+4906.32</f>
        <v>734643.64</v>
      </c>
      <c r="G233" s="18">
        <f>58976.19+154777.78+2515.77+54842.86+30537.5+672.08+3039.4+438.78+5170.17</f>
        <v>310970.53000000003</v>
      </c>
      <c r="H233" s="18">
        <f>4284.76+14710.17+14301.59+2290.36+10878.3+3656.53</f>
        <v>50121.710000000006</v>
      </c>
      <c r="I233" s="18">
        <f>809.63+7959.23</f>
        <v>8768.8599999999988</v>
      </c>
      <c r="J233" s="18"/>
      <c r="K233" s="18">
        <f>4320</f>
        <v>4320</v>
      </c>
      <c r="L233" s="19">
        <f t="shared" si="4"/>
        <v>1108824.7400000002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f>161964.04</f>
        <v>161964.04</v>
      </c>
      <c r="G234" s="18">
        <f>14310.24+37689.02+554.15+12080.29+4284+148.04+669.49+96.65+1138.84</f>
        <v>70970.719999999987</v>
      </c>
      <c r="H234" s="18">
        <f>11580.13</f>
        <v>11580.13</v>
      </c>
      <c r="I234" s="18"/>
      <c r="J234" s="18"/>
      <c r="K234" s="18"/>
      <c r="L234" s="19">
        <f t="shared" si="4"/>
        <v>244514.89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516316.75+62694.16+282755.81</f>
        <v>861766.72</v>
      </c>
      <c r="G235" s="18">
        <f>94208.88+3769.36+227810.34+12635.65+2951.27+64336.48+1768+788.42+3565.54+514.73+6065.16</f>
        <v>418413.82999999996</v>
      </c>
      <c r="H235" s="18">
        <f>7371.51+1223.4+66481.68+19779+5191.2+137667.02+10128.12+539431.23</f>
        <v>787273.15999999992</v>
      </c>
      <c r="I235" s="18">
        <f>57709.41+37842.8+127427.65+247818.72+4578.85</f>
        <v>475377.42999999993</v>
      </c>
      <c r="J235" s="18">
        <f>1739.85+1000+26089+32106.28</f>
        <v>60935.13</v>
      </c>
      <c r="K235" s="18">
        <f>193.8</f>
        <v>193.8</v>
      </c>
      <c r="L235" s="19">
        <f t="shared" si="4"/>
        <v>2603960.0699999994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63027.06+7569.31+590933.27</f>
        <v>661529.64</v>
      </c>
      <c r="I236" s="18"/>
      <c r="J236" s="18"/>
      <c r="K236" s="18"/>
      <c r="L236" s="19">
        <f t="shared" si="4"/>
        <v>661529.64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f>134813.78</f>
        <v>134813.78</v>
      </c>
      <c r="G237" s="18">
        <f>4848.04+6980.85+13967.52+21106.41+462+10071.49+123.42+558.16+80.58+949.46</f>
        <v>59147.93</v>
      </c>
      <c r="H237" s="18">
        <f>60851.45</f>
        <v>60851.45</v>
      </c>
      <c r="I237" s="18">
        <f>37971.2</f>
        <v>37971.199999999997</v>
      </c>
      <c r="J237" s="18">
        <f>46649.76</f>
        <v>46649.760000000002</v>
      </c>
      <c r="K237" s="18"/>
      <c r="L237" s="19">
        <f>SUM(F237:K237)</f>
        <v>339434.12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11798662.1</v>
      </c>
      <c r="G239" s="41">
        <f t="shared" si="5"/>
        <v>5024373.74</v>
      </c>
      <c r="H239" s="41">
        <f t="shared" si="5"/>
        <v>2640025.6599999997</v>
      </c>
      <c r="I239" s="41">
        <f t="shared" si="5"/>
        <v>970811.05999999982</v>
      </c>
      <c r="J239" s="41">
        <f t="shared" si="5"/>
        <v>317017.82999999996</v>
      </c>
      <c r="K239" s="41">
        <f t="shared" si="5"/>
        <v>38203.14</v>
      </c>
      <c r="L239" s="41">
        <f t="shared" si="5"/>
        <v>20789093.530000005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f>2738.33+4941</f>
        <v>7679.33</v>
      </c>
      <c r="G243" s="18">
        <f>70.69+1540.99+18.88+85.4+12.33+145.27</f>
        <v>1873.5600000000002</v>
      </c>
      <c r="H243" s="18">
        <f>1012+766.12</f>
        <v>1778.12</v>
      </c>
      <c r="I243" s="18">
        <f>1103.52+656.17</f>
        <v>1759.69</v>
      </c>
      <c r="J243" s="18"/>
      <c r="K243" s="18"/>
      <c r="L243" s="19">
        <f t="shared" si="6"/>
        <v>13090.699999999999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7679.33</v>
      </c>
      <c r="G248" s="41">
        <f t="shared" si="7"/>
        <v>1873.5600000000002</v>
      </c>
      <c r="H248" s="41">
        <f t="shared" si="7"/>
        <v>1778.12</v>
      </c>
      <c r="I248" s="41">
        <f t="shared" si="7"/>
        <v>1759.69</v>
      </c>
      <c r="J248" s="41">
        <f t="shared" si="7"/>
        <v>0</v>
      </c>
      <c r="K248" s="41">
        <f t="shared" si="7"/>
        <v>0</v>
      </c>
      <c r="L248" s="41">
        <f>SUM(F248:K248)</f>
        <v>13090.699999999999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35351635.529999994</v>
      </c>
      <c r="G249" s="41">
        <f t="shared" si="8"/>
        <v>14371834.74</v>
      </c>
      <c r="H249" s="41">
        <f t="shared" si="8"/>
        <v>6641272.6200000001</v>
      </c>
      <c r="I249" s="41">
        <f t="shared" si="8"/>
        <v>2250102.73</v>
      </c>
      <c r="J249" s="41">
        <f t="shared" si="8"/>
        <v>564463.92999999993</v>
      </c>
      <c r="K249" s="41">
        <f t="shared" si="8"/>
        <v>67554.27</v>
      </c>
      <c r="L249" s="41">
        <f t="shared" si="8"/>
        <v>59246863.820000008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1740000</v>
      </c>
      <c r="L252" s="19">
        <f>SUM(F252:K252)</f>
        <v>1740000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378641.7+922693.75</f>
        <v>1301335.45</v>
      </c>
      <c r="L253" s="19">
        <f>SUM(F253:K253)</f>
        <v>1301335.45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450000</v>
      </c>
      <c r="L258" s="19">
        <f t="shared" si="9"/>
        <v>450000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3491335.45</v>
      </c>
      <c r="L262" s="41">
        <f t="shared" si="9"/>
        <v>3491335.45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35351635.529999994</v>
      </c>
      <c r="G263" s="42">
        <f t="shared" si="11"/>
        <v>14371834.74</v>
      </c>
      <c r="H263" s="42">
        <f t="shared" si="11"/>
        <v>6641272.6200000001</v>
      </c>
      <c r="I263" s="42">
        <f t="shared" si="11"/>
        <v>2250102.73</v>
      </c>
      <c r="J263" s="42">
        <f t="shared" si="11"/>
        <v>564463.92999999993</v>
      </c>
      <c r="K263" s="42">
        <f t="shared" si="11"/>
        <v>3558889.72</v>
      </c>
      <c r="L263" s="42">
        <f t="shared" si="11"/>
        <v>62738199.270000011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157869.76000000001</v>
      </c>
      <c r="G268" s="18"/>
      <c r="H268" s="18"/>
      <c r="I268" s="18"/>
      <c r="J268" s="18"/>
      <c r="K268" s="18"/>
      <c r="L268" s="19">
        <f>SUM(F268:K268)</f>
        <v>157869.76000000001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397816.87+135371.26</f>
        <v>533188.13</v>
      </c>
      <c r="G269" s="18"/>
      <c r="H269" s="18">
        <v>1680</v>
      </c>
      <c r="I269" s="18">
        <f>2138.7+4902.81+14222.4</f>
        <v>21263.91</v>
      </c>
      <c r="J269" s="18">
        <f>19493.78+832.88+991.51</f>
        <v>21318.17</v>
      </c>
      <c r="K269" s="18"/>
      <c r="L269" s="19">
        <f>SUM(F269:K269)</f>
        <v>577450.21000000008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66.89+21849.77+25099.14+3346+45074.91+27661.15</f>
        <v>123097.86000000002</v>
      </c>
      <c r="G273" s="18"/>
      <c r="H273" s="18">
        <v>5111</v>
      </c>
      <c r="I273" s="18"/>
      <c r="J273" s="18"/>
      <c r="K273" s="18"/>
      <c r="L273" s="19">
        <f t="shared" ref="L273:L279" si="12">SUM(F273:K273)</f>
        <v>128208.86000000002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12300+15750</f>
        <v>28050</v>
      </c>
      <c r="G274" s="18"/>
      <c r="H274" s="18">
        <f>27395+17250+588.18</f>
        <v>45233.18</v>
      </c>
      <c r="I274" s="18">
        <f>306.09+659.75+879.36+2169.94</f>
        <v>4015.14</v>
      </c>
      <c r="J274" s="18">
        <v>4261.1099999999997</v>
      </c>
      <c r="K274" s="18"/>
      <c r="L274" s="19">
        <f t="shared" si="12"/>
        <v>81559.429999999993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12000</v>
      </c>
      <c r="I278" s="18">
        <v>896.7</v>
      </c>
      <c r="J278" s="18"/>
      <c r="K278" s="18"/>
      <c r="L278" s="19">
        <f t="shared" si="12"/>
        <v>12896.7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842205.75</v>
      </c>
      <c r="G282" s="42">
        <f t="shared" si="13"/>
        <v>0</v>
      </c>
      <c r="H282" s="42">
        <f t="shared" si="13"/>
        <v>64024.18</v>
      </c>
      <c r="I282" s="42">
        <f t="shared" si="13"/>
        <v>26175.75</v>
      </c>
      <c r="J282" s="42">
        <f t="shared" si="13"/>
        <v>25579.279999999999</v>
      </c>
      <c r="K282" s="42">
        <f t="shared" si="13"/>
        <v>0</v>
      </c>
      <c r="L282" s="41">
        <f t="shared" si="13"/>
        <v>957984.96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>
        <v>10750</v>
      </c>
      <c r="I287" s="18"/>
      <c r="J287" s="18"/>
      <c r="K287" s="18"/>
      <c r="L287" s="19">
        <f>SUM(F287:K287)</f>
        <v>10750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73723.27+49735.02</f>
        <v>123458.29000000001</v>
      </c>
      <c r="G288" s="18"/>
      <c r="H288" s="18"/>
      <c r="I288" s="18">
        <v>2019.42</v>
      </c>
      <c r="J288" s="18">
        <f>12758.94+475.92</f>
        <v>13234.86</v>
      </c>
      <c r="K288" s="18"/>
      <c r="L288" s="19">
        <f>SUM(F288:K288)</f>
        <v>138712.57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38.22+12485.58+7260</f>
        <v>19783.8</v>
      </c>
      <c r="G292" s="18">
        <v>383.03</v>
      </c>
      <c r="H292" s="18"/>
      <c r="I292" s="18"/>
      <c r="J292" s="18"/>
      <c r="K292" s="18"/>
      <c r="L292" s="19">
        <f t="shared" ref="L292:L298" si="14">SUM(F292:K292)</f>
        <v>20166.829999999998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404</v>
      </c>
      <c r="I293" s="18">
        <f>616.6+1239.97</f>
        <v>1856.5700000000002</v>
      </c>
      <c r="J293" s="18">
        <v>2434.92</v>
      </c>
      <c r="K293" s="18"/>
      <c r="L293" s="19">
        <f t="shared" si="14"/>
        <v>4695.49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143242.09</v>
      </c>
      <c r="G301" s="42">
        <f t="shared" si="15"/>
        <v>383.03</v>
      </c>
      <c r="H301" s="42">
        <f t="shared" si="15"/>
        <v>11154</v>
      </c>
      <c r="I301" s="42">
        <f t="shared" si="15"/>
        <v>3875.9900000000002</v>
      </c>
      <c r="J301" s="42">
        <f t="shared" si="15"/>
        <v>15669.78</v>
      </c>
      <c r="K301" s="42">
        <f t="shared" si="15"/>
        <v>0</v>
      </c>
      <c r="L301" s="41">
        <f t="shared" si="15"/>
        <v>174324.88999999998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>
        <v>443.92</v>
      </c>
      <c r="J306" s="18">
        <v>1811.32</v>
      </c>
      <c r="K306" s="18"/>
      <c r="L306" s="19">
        <f>SUM(F306:K306)</f>
        <v>2255.2399999999998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407440.96</v>
      </c>
      <c r="G307" s="18">
        <v>354.25</v>
      </c>
      <c r="H307" s="18">
        <v>62991.25</v>
      </c>
      <c r="I307" s="18">
        <v>2723.23</v>
      </c>
      <c r="J307" s="18">
        <f>14891.26+674.23+495.75</f>
        <v>16061.24</v>
      </c>
      <c r="K307" s="18"/>
      <c r="L307" s="19">
        <f>SUM(F307:K307)</f>
        <v>489570.93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53269.18</v>
      </c>
      <c r="G308" s="18">
        <v>4075.08</v>
      </c>
      <c r="H308" s="18">
        <f>1113+488.73+33.25+1843.5+16589.46</f>
        <v>20067.939999999999</v>
      </c>
      <c r="I308" s="18">
        <f>5652.74+69.99</f>
        <v>5722.73</v>
      </c>
      <c r="J308" s="18"/>
      <c r="K308" s="18">
        <f>198.95+3030.22</f>
        <v>3229.1699999999996</v>
      </c>
      <c r="L308" s="19">
        <f>SUM(F308:K308)</f>
        <v>86364.099999999991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54450</v>
      </c>
      <c r="I309" s="18"/>
      <c r="J309" s="18"/>
      <c r="K309" s="18"/>
      <c r="L309" s="19">
        <f>SUM(F309:K309)</f>
        <v>54450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54.14+17687.91+5150+31412.06</f>
        <v>54304.11</v>
      </c>
      <c r="G311" s="18">
        <v>383.02</v>
      </c>
      <c r="H311" s="18">
        <f>1800+23345.63</f>
        <v>25145.63</v>
      </c>
      <c r="I311" s="18"/>
      <c r="J311" s="18"/>
      <c r="K311" s="18"/>
      <c r="L311" s="19">
        <f t="shared" ref="L311:L317" si="16">SUM(F311:K311)</f>
        <v>79832.759999999995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5060</v>
      </c>
      <c r="I312" s="18">
        <v>1756.62</v>
      </c>
      <c r="J312" s="18">
        <v>3449.47</v>
      </c>
      <c r="K312" s="18"/>
      <c r="L312" s="19">
        <f t="shared" si="16"/>
        <v>10266.09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f>625.37</f>
        <v>625.37</v>
      </c>
      <c r="I316" s="18"/>
      <c r="J316" s="18"/>
      <c r="K316" s="18"/>
      <c r="L316" s="19">
        <f t="shared" si="16"/>
        <v>625.37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38924</v>
      </c>
      <c r="I317" s="18"/>
      <c r="J317" s="18"/>
      <c r="K317" s="18"/>
      <c r="L317" s="19">
        <f t="shared" si="16"/>
        <v>38924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515014.25</v>
      </c>
      <c r="G320" s="42">
        <f t="shared" si="17"/>
        <v>4812.3500000000004</v>
      </c>
      <c r="H320" s="42">
        <f t="shared" si="17"/>
        <v>207264.19</v>
      </c>
      <c r="I320" s="42">
        <f t="shared" si="17"/>
        <v>10646.5</v>
      </c>
      <c r="J320" s="42">
        <f t="shared" si="17"/>
        <v>21322.030000000002</v>
      </c>
      <c r="K320" s="42">
        <f t="shared" si="17"/>
        <v>3229.1699999999996</v>
      </c>
      <c r="L320" s="41">
        <f t="shared" si="17"/>
        <v>762288.49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v>5962.5</v>
      </c>
      <c r="I324" s="18"/>
      <c r="J324" s="18"/>
      <c r="K324" s="18"/>
      <c r="L324" s="19">
        <f t="shared" ref="L324:L329" si="18">SUM(F324:K324)</f>
        <v>5962.5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12970.2</v>
      </c>
      <c r="G325" s="18"/>
      <c r="H325" s="18"/>
      <c r="I325" s="18">
        <v>4616.12</v>
      </c>
      <c r="J325" s="18">
        <v>13806.91</v>
      </c>
      <c r="K325" s="18"/>
      <c r="L325" s="19">
        <f t="shared" si="18"/>
        <v>31393.23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12970.2</v>
      </c>
      <c r="G329" s="41">
        <f t="shared" si="19"/>
        <v>0</v>
      </c>
      <c r="H329" s="41">
        <f t="shared" si="19"/>
        <v>5962.5</v>
      </c>
      <c r="I329" s="41">
        <f t="shared" si="19"/>
        <v>4616.12</v>
      </c>
      <c r="J329" s="41">
        <f t="shared" si="19"/>
        <v>13806.91</v>
      </c>
      <c r="K329" s="41">
        <f t="shared" si="19"/>
        <v>0</v>
      </c>
      <c r="L329" s="41">
        <f t="shared" si="18"/>
        <v>37355.729999999996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1513432.2899999998</v>
      </c>
      <c r="G330" s="41">
        <f t="shared" si="20"/>
        <v>5195.38</v>
      </c>
      <c r="H330" s="41">
        <f t="shared" si="20"/>
        <v>288404.87</v>
      </c>
      <c r="I330" s="41">
        <f t="shared" si="20"/>
        <v>45314.360000000008</v>
      </c>
      <c r="J330" s="41">
        <f t="shared" si="20"/>
        <v>76378</v>
      </c>
      <c r="K330" s="41">
        <f t="shared" si="20"/>
        <v>3229.1699999999996</v>
      </c>
      <c r="L330" s="41">
        <f t="shared" si="20"/>
        <v>1931954.0699999998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1513432.2899999998</v>
      </c>
      <c r="G344" s="41">
        <f>G330</f>
        <v>5195.38</v>
      </c>
      <c r="H344" s="41">
        <f>H330</f>
        <v>288404.87</v>
      </c>
      <c r="I344" s="41">
        <f>I330</f>
        <v>45314.360000000008</v>
      </c>
      <c r="J344" s="41">
        <f>J330</f>
        <v>76378</v>
      </c>
      <c r="K344" s="47">
        <f>K330+K343</f>
        <v>3229.1699999999996</v>
      </c>
      <c r="L344" s="41">
        <f>L330+L343</f>
        <v>1931954.0699999998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52828.38+152599.38</f>
        <v>205427.76</v>
      </c>
      <c r="G350" s="18">
        <v>31712.9</v>
      </c>
      <c r="H350" s="18">
        <v>7442.56</v>
      </c>
      <c r="I350" s="18">
        <v>303194.40000000002</v>
      </c>
      <c r="J350" s="18">
        <v>3251</v>
      </c>
      <c r="K350" s="18">
        <v>279.83</v>
      </c>
      <c r="L350" s="13">
        <f>SUM(F350:K350)</f>
        <v>551308.44999999995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30187.64+128955.81</f>
        <v>159143.45000000001</v>
      </c>
      <c r="G351" s="18">
        <v>18121.66</v>
      </c>
      <c r="H351" s="18">
        <v>4252.8900000000003</v>
      </c>
      <c r="I351" s="18">
        <v>173253.94</v>
      </c>
      <c r="J351" s="18">
        <f>479.5+1000</f>
        <v>1479.5</v>
      </c>
      <c r="K351" s="18">
        <v>159.9</v>
      </c>
      <c r="L351" s="19">
        <f>SUM(F351:K351)</f>
        <v>356411.34000000008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42765.83+74540.02</f>
        <v>117305.85</v>
      </c>
      <c r="G352" s="18">
        <v>25672.35</v>
      </c>
      <c r="H352" s="18">
        <v>6024.93</v>
      </c>
      <c r="I352" s="18">
        <v>245443.08</v>
      </c>
      <c r="J352" s="18">
        <f>3241.52+264.98</f>
        <v>3506.5</v>
      </c>
      <c r="K352" s="18">
        <v>226.52</v>
      </c>
      <c r="L352" s="19">
        <f>SUM(F352:K352)</f>
        <v>398179.23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481877.06000000006</v>
      </c>
      <c r="G354" s="47">
        <f t="shared" si="22"/>
        <v>75506.91</v>
      </c>
      <c r="H354" s="47">
        <f t="shared" si="22"/>
        <v>17720.38</v>
      </c>
      <c r="I354" s="47">
        <f t="shared" si="22"/>
        <v>721891.42</v>
      </c>
      <c r="J354" s="47">
        <f t="shared" si="22"/>
        <v>8237</v>
      </c>
      <c r="K354" s="47">
        <f t="shared" si="22"/>
        <v>666.25</v>
      </c>
      <c r="L354" s="47">
        <f t="shared" si="22"/>
        <v>1305899.02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281528.62</v>
      </c>
      <c r="G359" s="18">
        <v>160873.5</v>
      </c>
      <c r="H359" s="18">
        <v>227904.12</v>
      </c>
      <c r="I359" s="56">
        <f>SUM(F359:H359)</f>
        <v>670306.24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21665.78</v>
      </c>
      <c r="G360" s="63">
        <v>12380.44</v>
      </c>
      <c r="H360" s="63">
        <v>17538.96</v>
      </c>
      <c r="I360" s="56">
        <f>SUM(F360:H360)</f>
        <v>51585.18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303194.40000000002</v>
      </c>
      <c r="G361" s="47">
        <f>SUM(G359:G360)</f>
        <v>173253.94</v>
      </c>
      <c r="H361" s="47">
        <f>SUM(H359:H360)</f>
        <v>245443.08</v>
      </c>
      <c r="I361" s="47">
        <f>SUM(I359:I360)</f>
        <v>721891.42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314129.49</v>
      </c>
      <c r="I370" s="18"/>
      <c r="J370" s="18"/>
      <c r="K370" s="18"/>
      <c r="L370" s="13">
        <f t="shared" si="23"/>
        <v>314129.49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314129.49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314129.49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82.4</v>
      </c>
      <c r="I384" s="18"/>
      <c r="J384" s="24" t="s">
        <v>312</v>
      </c>
      <c r="K384" s="24" t="s">
        <v>312</v>
      </c>
      <c r="L384" s="56">
        <f t="shared" si="25"/>
        <v>82.4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82.4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82.4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450000</v>
      </c>
      <c r="H388" s="18">
        <v>961.72</v>
      </c>
      <c r="I388" s="18"/>
      <c r="J388" s="24" t="s">
        <v>312</v>
      </c>
      <c r="K388" s="24" t="s">
        <v>312</v>
      </c>
      <c r="L388" s="56">
        <f t="shared" si="26"/>
        <v>450961.72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279.81</v>
      </c>
      <c r="I389" s="18"/>
      <c r="J389" s="24" t="s">
        <v>312</v>
      </c>
      <c r="K389" s="24" t="s">
        <v>312</v>
      </c>
      <c r="L389" s="56">
        <f t="shared" si="26"/>
        <v>279.81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450000</v>
      </c>
      <c r="H393" s="47">
        <f>SUM(H387:H392)</f>
        <v>1241.53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451241.52999999997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450000</v>
      </c>
      <c r="H400" s="47">
        <f>H385+H393+H399</f>
        <v>1323.93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451323.93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377516.72</v>
      </c>
      <c r="L414" s="56">
        <f t="shared" si="29"/>
        <v>377516.72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377516.72</v>
      </c>
      <c r="L419" s="47">
        <f t="shared" si="30"/>
        <v>377516.72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377516.72</v>
      </c>
      <c r="L426" s="47">
        <f t="shared" si="32"/>
        <v>377516.72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30750.19</v>
      </c>
      <c r="G431" s="18">
        <v>292614.5</v>
      </c>
      <c r="H431" s="18"/>
      <c r="I431" s="56">
        <f t="shared" ref="I431:I437" si="33">SUM(F431:H431)</f>
        <v>323364.69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30750.19</v>
      </c>
      <c r="G438" s="13">
        <f>SUM(G431:G437)</f>
        <v>292614.5</v>
      </c>
      <c r="H438" s="13">
        <f>SUM(H431:H437)</f>
        <v>0</v>
      </c>
      <c r="I438" s="13">
        <f>SUM(I431:I437)</f>
        <v>323364.69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62823.75</v>
      </c>
      <c r="H440" s="18"/>
      <c r="I440" s="56">
        <f>SUM(F440:H440)</f>
        <v>62823.75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62823.75</v>
      </c>
      <c r="H444" s="72">
        <f>SUM(H440:H443)</f>
        <v>0</v>
      </c>
      <c r="I444" s="72">
        <f>SUM(I440:I443)</f>
        <v>62823.75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30750.19</v>
      </c>
      <c r="G449" s="18">
        <v>229790.75</v>
      </c>
      <c r="H449" s="18"/>
      <c r="I449" s="56">
        <f>SUM(F449:H449)</f>
        <v>260540.94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30750.19</v>
      </c>
      <c r="G450" s="83">
        <f>SUM(G446:G449)</f>
        <v>229790.75</v>
      </c>
      <c r="H450" s="83">
        <f>SUM(H446:H449)</f>
        <v>0</v>
      </c>
      <c r="I450" s="83">
        <f>SUM(I446:I449)</f>
        <v>260540.94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30750.19</v>
      </c>
      <c r="G451" s="42">
        <f>G444+G450</f>
        <v>292614.5</v>
      </c>
      <c r="H451" s="42">
        <f>H444+H450</f>
        <v>0</v>
      </c>
      <c r="I451" s="42">
        <f>I444+I450</f>
        <v>323364.69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356316.79</v>
      </c>
      <c r="G455" s="18">
        <v>140971.34</v>
      </c>
      <c r="H455" s="18">
        <v>93141.15</v>
      </c>
      <c r="I455" s="18">
        <v>408723.94</v>
      </c>
      <c r="J455" s="18">
        <v>186733.73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62975425.850000001</v>
      </c>
      <c r="G458" s="18">
        <v>1321786.02</v>
      </c>
      <c r="H458" s="18">
        <v>1923413.63</v>
      </c>
      <c r="I458" s="18">
        <v>0</v>
      </c>
      <c r="J458" s="18">
        <v>451323.93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62975425.850000001</v>
      </c>
      <c r="G460" s="53">
        <f>SUM(G458:G459)</f>
        <v>1321786.02</v>
      </c>
      <c r="H460" s="53">
        <f>SUM(H458:H459)</f>
        <v>1923413.63</v>
      </c>
      <c r="I460" s="53">
        <f>SUM(I458:I459)</f>
        <v>0</v>
      </c>
      <c r="J460" s="53">
        <f>SUM(J458:J459)</f>
        <v>451323.93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62738199.270000003</v>
      </c>
      <c r="G462" s="18">
        <v>1305899.02</v>
      </c>
      <c r="H462" s="18">
        <v>1931954.07</v>
      </c>
      <c r="I462" s="18">
        <v>314129.49</v>
      </c>
      <c r="J462" s="18">
        <v>377516.72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62738199.270000003</v>
      </c>
      <c r="G464" s="53">
        <f>SUM(G462:G463)</f>
        <v>1305899.02</v>
      </c>
      <c r="H464" s="53">
        <f>SUM(H462:H463)</f>
        <v>1931954.07</v>
      </c>
      <c r="I464" s="53">
        <f>SUM(I462:I463)</f>
        <v>314129.49</v>
      </c>
      <c r="J464" s="53">
        <f>SUM(J462:J463)</f>
        <v>377516.72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593543.36999999732</v>
      </c>
      <c r="G466" s="53">
        <f>(G455+G460)- G464</f>
        <v>156858.34000000008</v>
      </c>
      <c r="H466" s="53">
        <f>(H455+H460)- H464</f>
        <v>84600.70999999973</v>
      </c>
      <c r="I466" s="53">
        <f>(I455+I460)- I464</f>
        <v>94594.450000000012</v>
      </c>
      <c r="J466" s="53">
        <f>(J455+J460)- J464</f>
        <v>260540.94000000006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13</v>
      </c>
      <c r="H480" s="154">
        <v>20</v>
      </c>
      <c r="I480" s="154">
        <v>20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 t="s">
        <v>900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12030000</v>
      </c>
      <c r="G483" s="18">
        <v>6935000</v>
      </c>
      <c r="H483" s="18">
        <v>5500000</v>
      </c>
      <c r="I483" s="18">
        <v>5100000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4.57</v>
      </c>
      <c r="G484" s="18">
        <v>3.25</v>
      </c>
      <c r="H484" s="18">
        <v>3.9</v>
      </c>
      <c r="I484" s="18">
        <v>4.09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9350000</v>
      </c>
      <c r="G485" s="18">
        <v>4095000</v>
      </c>
      <c r="H485" s="18">
        <v>4675000</v>
      </c>
      <c r="I485" s="18">
        <v>5100000</v>
      </c>
      <c r="J485" s="18"/>
      <c r="K485" s="53">
        <f>SUM(F485:J485)</f>
        <v>23220000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670000</v>
      </c>
      <c r="G487" s="18">
        <v>540000</v>
      </c>
      <c r="H487" s="18">
        <v>275000</v>
      </c>
      <c r="I487" s="18">
        <v>255000</v>
      </c>
      <c r="J487" s="18"/>
      <c r="K487" s="53">
        <f t="shared" si="34"/>
        <v>1740000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8680000</v>
      </c>
      <c r="G488" s="205">
        <v>3555000</v>
      </c>
      <c r="H488" s="205">
        <v>4400000</v>
      </c>
      <c r="I488" s="205">
        <v>4845000</v>
      </c>
      <c r="J488" s="205"/>
      <c r="K488" s="206">
        <f t="shared" si="34"/>
        <v>21480000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8680000</v>
      </c>
      <c r="G490" s="42">
        <f>SUM(G488:G489)</f>
        <v>3555000</v>
      </c>
      <c r="H490" s="42">
        <f>SUM(H488:H489)</f>
        <v>4400000</v>
      </c>
      <c r="I490" s="42">
        <f>SUM(I488:I489)</f>
        <v>4845000</v>
      </c>
      <c r="J490" s="42">
        <f>SUM(J488:J489)</f>
        <v>0</v>
      </c>
      <c r="K490" s="42">
        <f t="shared" si="34"/>
        <v>21480000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670000</v>
      </c>
      <c r="G491" s="205">
        <v>535000</v>
      </c>
      <c r="H491" s="205">
        <v>275000</v>
      </c>
      <c r="I491" s="205">
        <v>255000</v>
      </c>
      <c r="J491" s="205"/>
      <c r="K491" s="206">
        <f t="shared" si="34"/>
        <v>1735000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383706.25</v>
      </c>
      <c r="G492" s="18">
        <v>119712.5</v>
      </c>
      <c r="H492" s="18">
        <v>164175</v>
      </c>
      <c r="I492" s="18">
        <v>192206.26</v>
      </c>
      <c r="J492" s="18"/>
      <c r="K492" s="53">
        <f t="shared" si="34"/>
        <v>859800.01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1053706.25</v>
      </c>
      <c r="G493" s="42">
        <f>SUM(G491:G492)</f>
        <v>654712.5</v>
      </c>
      <c r="H493" s="42">
        <f>SUM(H491:H492)</f>
        <v>439175</v>
      </c>
      <c r="I493" s="42">
        <f>SUM(I491:I492)</f>
        <v>447206.26</v>
      </c>
      <c r="J493" s="42">
        <f>SUM(J491:J492)</f>
        <v>0</v>
      </c>
      <c r="K493" s="42">
        <f t="shared" si="34"/>
        <v>2594800.0099999998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1801101</v>
      </c>
      <c r="G497" s="144"/>
      <c r="H497" s="144"/>
      <c r="I497" s="144">
        <v>2007208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1712018.4+1497387.48+3147+32976.41+133851.28</f>
        <v>3379380.57</v>
      </c>
      <c r="G511" s="18">
        <f>(F511*0.0765)+1447.89+143935.07+533.8+859342.46-74587.89</f>
        <v>1189193.9436050002</v>
      </c>
      <c r="H511" s="18">
        <f>1680+833.91+192766.43+86.8+7664.33+7387.55+2178.72</f>
        <v>212597.73999999996</v>
      </c>
      <c r="I511" s="18">
        <f>6755.62+15425.48+3860.41+14222.4+731.18</f>
        <v>40995.089999999997</v>
      </c>
      <c r="J511" s="18">
        <f>27732.16+1824.39</f>
        <v>29556.55</v>
      </c>
      <c r="K511" s="18">
        <f>863.85-0.02</f>
        <v>863.83</v>
      </c>
      <c r="L511" s="88">
        <f>SUM(F511:K511)</f>
        <v>4852587.7236050004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802589.8+415917.11+57829.42</f>
        <v>1276336.33</v>
      </c>
      <c r="G512" s="18">
        <f>(F512*0.0765)+4496.14+756.85+67991.11+268858.26</f>
        <v>439742.08924500004</v>
      </c>
      <c r="H512" s="18">
        <f>4480+462837.88+1875+4379.62+4221.46+1244.98</f>
        <v>479038.94</v>
      </c>
      <c r="I512" s="18">
        <f>2019.42+3416.2+6363.67+365.59</f>
        <v>12164.880000000001</v>
      </c>
      <c r="J512" s="18">
        <f>12758.94+210+475.92</f>
        <v>13444.86</v>
      </c>
      <c r="K512" s="18"/>
      <c r="L512" s="88">
        <f>SUM(F512:K512)</f>
        <v>2220727.0992449997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1380213.57+462561.87+1491.78+71392.78</f>
        <v>1915660</v>
      </c>
      <c r="G513" s="18">
        <f>354.25+(F513*0.0765)+4485.71+1085.93+97143.64+372341.96-35593.2</f>
        <v>586366.28</v>
      </c>
      <c r="H513" s="18">
        <f>62991.25+44560.95+524357.64+16030.63+70660.5+5078+6204.46+5980.4+1763.72</f>
        <v>737627.54999999993</v>
      </c>
      <c r="I513" s="18">
        <f>2723.23+6052.63+133.08+365.59</f>
        <v>9274.5300000000007</v>
      </c>
      <c r="J513" s="18">
        <f>14891.26+1169.98</f>
        <v>16061.24</v>
      </c>
      <c r="K513" s="18">
        <f>530</f>
        <v>530</v>
      </c>
      <c r="L513" s="88">
        <f>SUM(F513:K513)</f>
        <v>3265519.6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6571376.9000000004</v>
      </c>
      <c r="G514" s="108">
        <f t="shared" ref="G514:L514" si="35">SUM(G511:G513)</f>
        <v>2215302.3128500003</v>
      </c>
      <c r="H514" s="108">
        <f t="shared" si="35"/>
        <v>1429264.23</v>
      </c>
      <c r="I514" s="108">
        <f t="shared" si="35"/>
        <v>62434.5</v>
      </c>
      <c r="J514" s="108">
        <f t="shared" si="35"/>
        <v>59062.65</v>
      </c>
      <c r="K514" s="108">
        <f t="shared" si="35"/>
        <v>1393.83</v>
      </c>
      <c r="L514" s="89">
        <f t="shared" si="35"/>
        <v>10338834.42285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594628.01+27661.15+6950.68+531500.43</f>
        <v>1160740.27</v>
      </c>
      <c r="G516" s="18">
        <f>(F516*0.0765)+135308.97+388765.09-150000</f>
        <v>462870.69065500004</v>
      </c>
      <c r="H516" s="18">
        <f>19745+12000+91109.12</f>
        <v>122854.12</v>
      </c>
      <c r="I516" s="18">
        <f>708.16</f>
        <v>708.16</v>
      </c>
      <c r="J516" s="18"/>
      <c r="K516" s="18">
        <f>235</f>
        <v>235</v>
      </c>
      <c r="L516" s="88">
        <f>SUM(F516:K516)</f>
        <v>1747408.2406550001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37206.56+121627.47+160899.54</f>
        <v>319733.57</v>
      </c>
      <c r="G517" s="18">
        <f>(F517*0.0765)+37306.61+162573.75-75000</f>
        <v>149339.97810499999</v>
      </c>
      <c r="H517" s="18">
        <f>82640.76</f>
        <v>82640.759999999995</v>
      </c>
      <c r="I517" s="18">
        <f>110.52</f>
        <v>110.52</v>
      </c>
      <c r="J517" s="18"/>
      <c r="K517" s="18"/>
      <c r="L517" s="88">
        <f>SUM(F517:K517)</f>
        <v>551824.82810499996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117208.78+140683.99</f>
        <v>257892.77</v>
      </c>
      <c r="G518" s="18">
        <f>(F518*0.0765)+79965.98+290829.26-150000</f>
        <v>240524.03690499999</v>
      </c>
      <c r="H518" s="18">
        <f>23345.63+19366.43</f>
        <v>42712.06</v>
      </c>
      <c r="I518" s="18">
        <f>110.52</f>
        <v>110.52</v>
      </c>
      <c r="J518" s="18"/>
      <c r="K518" s="18"/>
      <c r="L518" s="88">
        <f>SUM(F518:K518)</f>
        <v>541239.38690500008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1738366.61</v>
      </c>
      <c r="G519" s="89">
        <f t="shared" ref="G519:L519" si="36">SUM(G516:G518)</f>
        <v>852734.70566500002</v>
      </c>
      <c r="H519" s="89">
        <f t="shared" si="36"/>
        <v>248206.94</v>
      </c>
      <c r="I519" s="89">
        <f t="shared" si="36"/>
        <v>929.19999999999993</v>
      </c>
      <c r="J519" s="89">
        <f t="shared" si="36"/>
        <v>0</v>
      </c>
      <c r="K519" s="89">
        <f t="shared" si="36"/>
        <v>235</v>
      </c>
      <c r="L519" s="89">
        <f t="shared" si="36"/>
        <v>2840472.4556650002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208862.32+72130.34+72175.57</f>
        <v>353168.23000000004</v>
      </c>
      <c r="G521" s="18">
        <f>(F521*0.0765)+5200+5200+2184+4888.43+9040.9+22400.06+74587.89</f>
        <v>150518.64959500002</v>
      </c>
      <c r="H521" s="18">
        <f>2789.25</f>
        <v>2789.25</v>
      </c>
      <c r="I521" s="18">
        <f>291.62</f>
        <v>291.62</v>
      </c>
      <c r="J521" s="18"/>
      <c r="K521" s="18"/>
      <c r="L521" s="88">
        <f>SUM(F521:K521)</f>
        <v>506767.74959500006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81370.12+25276.2+41243.18</f>
        <v>147889.5</v>
      </c>
      <c r="G522" s="18">
        <f>(F522*0.0765)+5200+1248+2555.32+12800</f>
        <v>33116.866750000001</v>
      </c>
      <c r="H522" s="18">
        <f>1593.85</f>
        <v>1593.85</v>
      </c>
      <c r="I522" s="18">
        <f>166.64</f>
        <v>166.64</v>
      </c>
      <c r="J522" s="18"/>
      <c r="K522" s="18"/>
      <c r="L522" s="88">
        <f>SUM(F522:K522)</f>
        <v>182766.85675000001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81370.12+23094.23+58427.84</f>
        <v>162892.19</v>
      </c>
      <c r="G523" s="18">
        <f>(F523*0.0765)+5200+1768+3666.32+18133.38+35593.2</f>
        <v>76822.152535000001</v>
      </c>
      <c r="H523" s="18">
        <f>2257.96</f>
        <v>2257.96</v>
      </c>
      <c r="I523" s="18">
        <f>236.08</f>
        <v>236.08</v>
      </c>
      <c r="J523" s="18"/>
      <c r="K523" s="18"/>
      <c r="L523" s="88">
        <f>SUM(F523:K523)</f>
        <v>242208.38253499998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663949.92000000004</v>
      </c>
      <c r="G524" s="89">
        <f t="shared" ref="G524:L524" si="37">SUM(G521:G523)</f>
        <v>260457.66888000001</v>
      </c>
      <c r="H524" s="89">
        <f t="shared" si="37"/>
        <v>6641.06</v>
      </c>
      <c r="I524" s="89">
        <f t="shared" si="37"/>
        <v>694.34</v>
      </c>
      <c r="J524" s="89">
        <f t="shared" si="37"/>
        <v>0</v>
      </c>
      <c r="K524" s="89">
        <f t="shared" si="37"/>
        <v>0</v>
      </c>
      <c r="L524" s="89">
        <f t="shared" si="37"/>
        <v>931742.98888000008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7387.54</v>
      </c>
      <c r="I526" s="18"/>
      <c r="J526" s="18"/>
      <c r="K526" s="18"/>
      <c r="L526" s="88">
        <f>SUM(F526:K526)</f>
        <v>7387.54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4221.46</v>
      </c>
      <c r="I527" s="18"/>
      <c r="J527" s="18"/>
      <c r="K527" s="18"/>
      <c r="L527" s="88">
        <f>SUM(F527:K527)</f>
        <v>4221.46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5980.4</v>
      </c>
      <c r="I528" s="18"/>
      <c r="J528" s="18"/>
      <c r="K528" s="18"/>
      <c r="L528" s="88">
        <f>SUM(F528:K528)</f>
        <v>5980.4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17589.400000000001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17589.400000000001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586737.45</f>
        <v>586737.44999999995</v>
      </c>
      <c r="I531" s="18"/>
      <c r="J531" s="18"/>
      <c r="K531" s="18"/>
      <c r="L531" s="88">
        <f>SUM(F531:K531)</f>
        <v>586737.44999999995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78231.66</f>
        <v>78231.66</v>
      </c>
      <c r="I532" s="18"/>
      <c r="J532" s="18"/>
      <c r="K532" s="18"/>
      <c r="L532" s="88">
        <f>SUM(F532:K532)</f>
        <v>78231.66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156271.49</f>
        <v>156271.49</v>
      </c>
      <c r="I533" s="18"/>
      <c r="J533" s="18"/>
      <c r="K533" s="18"/>
      <c r="L533" s="88">
        <f>SUM(F533:K533)</f>
        <v>156271.49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821240.6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821240.6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8973693.4300000016</v>
      </c>
      <c r="G535" s="89">
        <f t="shared" ref="G535:L535" si="40">G514+G519+G524+G529+G534</f>
        <v>3328494.6873949999</v>
      </c>
      <c r="H535" s="89">
        <f t="shared" si="40"/>
        <v>2522942.23</v>
      </c>
      <c r="I535" s="89">
        <f t="shared" si="40"/>
        <v>64058.039999999994</v>
      </c>
      <c r="J535" s="89">
        <f t="shared" si="40"/>
        <v>59062.65</v>
      </c>
      <c r="K535" s="89">
        <f t="shared" si="40"/>
        <v>1628.83</v>
      </c>
      <c r="L535" s="89">
        <f t="shared" si="40"/>
        <v>14949879.867394999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4852587.7236050004</v>
      </c>
      <c r="G539" s="87">
        <f>L516</f>
        <v>1747408.2406550001</v>
      </c>
      <c r="H539" s="87">
        <f>L521</f>
        <v>506767.74959500006</v>
      </c>
      <c r="I539" s="87">
        <f>L526</f>
        <v>7387.54</v>
      </c>
      <c r="J539" s="87">
        <f>L531</f>
        <v>586737.44999999995</v>
      </c>
      <c r="K539" s="87">
        <f>SUM(F539:J539)</f>
        <v>7700888.7038550014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2220727.0992449997</v>
      </c>
      <c r="G540" s="87">
        <f>L517</f>
        <v>551824.82810499996</v>
      </c>
      <c r="H540" s="87">
        <f>L522</f>
        <v>182766.85675000001</v>
      </c>
      <c r="I540" s="87">
        <f>L527</f>
        <v>4221.46</v>
      </c>
      <c r="J540" s="87">
        <f>L532</f>
        <v>78231.66</v>
      </c>
      <c r="K540" s="87">
        <f>SUM(F540:J540)</f>
        <v>3037771.9040999995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3265519.6</v>
      </c>
      <c r="G541" s="87">
        <f>L518</f>
        <v>541239.38690500008</v>
      </c>
      <c r="H541" s="87">
        <f>L523</f>
        <v>242208.38253499998</v>
      </c>
      <c r="I541" s="87">
        <f>L528</f>
        <v>5980.4</v>
      </c>
      <c r="J541" s="87">
        <f>L533</f>
        <v>156271.49</v>
      </c>
      <c r="K541" s="87">
        <f>SUM(F541:J541)</f>
        <v>4211219.2594400002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10338834.42285</v>
      </c>
      <c r="G542" s="89">
        <f t="shared" si="41"/>
        <v>2840472.4556650002</v>
      </c>
      <c r="H542" s="89">
        <f t="shared" si="41"/>
        <v>931742.98888000008</v>
      </c>
      <c r="I542" s="89">
        <f t="shared" si="41"/>
        <v>17589.400000000001</v>
      </c>
      <c r="J542" s="89">
        <f t="shared" si="41"/>
        <v>821240.6</v>
      </c>
      <c r="K542" s="89">
        <f t="shared" si="41"/>
        <v>14949879.867395002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281548.69</v>
      </c>
      <c r="G547" s="18">
        <f>21538.47+21088+84835.64</f>
        <v>127462.11</v>
      </c>
      <c r="H547" s="18"/>
      <c r="I547" s="18">
        <v>4902.8100000000004</v>
      </c>
      <c r="J547" s="18"/>
      <c r="K547" s="18"/>
      <c r="L547" s="88">
        <f>SUM(F547:K547)</f>
        <v>413913.61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49735.02</v>
      </c>
      <c r="G548" s="18">
        <f>3804.73+3725.15+7887.4</f>
        <v>15417.279999999999</v>
      </c>
      <c r="H548" s="18"/>
      <c r="I548" s="18"/>
      <c r="J548" s="18"/>
      <c r="K548" s="18"/>
      <c r="L548" s="88">
        <f>SUM(F548:K548)</f>
        <v>65152.299999999996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331283.71000000002</v>
      </c>
      <c r="G550" s="108">
        <f t="shared" si="42"/>
        <v>142879.39000000001</v>
      </c>
      <c r="H550" s="108">
        <f t="shared" si="42"/>
        <v>0</v>
      </c>
      <c r="I550" s="108">
        <f t="shared" si="42"/>
        <v>4902.8100000000004</v>
      </c>
      <c r="J550" s="108">
        <f t="shared" si="42"/>
        <v>0</v>
      </c>
      <c r="K550" s="108">
        <f t="shared" si="42"/>
        <v>0</v>
      </c>
      <c r="L550" s="89">
        <f t="shared" si="42"/>
        <v>479065.91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14795.55</v>
      </c>
      <c r="G552" s="18">
        <v>1131.8599999999999</v>
      </c>
      <c r="H552" s="18"/>
      <c r="I552" s="18">
        <v>193.64</v>
      </c>
      <c r="J552" s="18"/>
      <c r="K552" s="18"/>
      <c r="L552" s="88">
        <f>SUM(F552:K552)</f>
        <v>16121.05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51111.92</v>
      </c>
      <c r="G553" s="18">
        <v>14368.36</v>
      </c>
      <c r="H553" s="18"/>
      <c r="I553" s="18">
        <v>387.26</v>
      </c>
      <c r="J553" s="18"/>
      <c r="K553" s="18"/>
      <c r="L553" s="88">
        <f>SUM(F553:K553)</f>
        <v>65867.539999999994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68597.570000000007</v>
      </c>
      <c r="G554" s="18">
        <v>25883.25</v>
      </c>
      <c r="H554" s="18"/>
      <c r="I554" s="18">
        <v>387.26</v>
      </c>
      <c r="J554" s="18"/>
      <c r="K554" s="18"/>
      <c r="L554" s="88">
        <f>SUM(F554:K554)</f>
        <v>94868.08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134505.04</v>
      </c>
      <c r="G555" s="89">
        <f t="shared" si="43"/>
        <v>41383.47</v>
      </c>
      <c r="H555" s="89">
        <f t="shared" si="43"/>
        <v>0</v>
      </c>
      <c r="I555" s="89">
        <f t="shared" si="43"/>
        <v>968.16</v>
      </c>
      <c r="J555" s="89">
        <f t="shared" si="43"/>
        <v>0</v>
      </c>
      <c r="K555" s="89">
        <f t="shared" si="43"/>
        <v>0</v>
      </c>
      <c r="L555" s="89">
        <f t="shared" si="43"/>
        <v>176856.66999999998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267305.2</v>
      </c>
      <c r="G557" s="18">
        <v>114041.29</v>
      </c>
      <c r="H557" s="18">
        <v>2500</v>
      </c>
      <c r="I557" s="18">
        <v>1280.4000000000001</v>
      </c>
      <c r="J557" s="18"/>
      <c r="K557" s="18">
        <v>2296.5</v>
      </c>
      <c r="L557" s="88">
        <f>SUM(F557:K557)</f>
        <v>387423.39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179448.06</v>
      </c>
      <c r="G558" s="18">
        <v>79526.899999999994</v>
      </c>
      <c r="H558" s="18">
        <v>2500</v>
      </c>
      <c r="I558" s="18">
        <v>5500.91</v>
      </c>
      <c r="J558" s="18"/>
      <c r="K558" s="18">
        <v>2296.5</v>
      </c>
      <c r="L558" s="88">
        <f>SUM(F558:K558)</f>
        <v>269272.37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12739</v>
      </c>
      <c r="G559" s="18">
        <v>974.53</v>
      </c>
      <c r="H559" s="18"/>
      <c r="I559" s="18"/>
      <c r="J559" s="18"/>
      <c r="K559" s="18"/>
      <c r="L559" s="88">
        <f>SUM(F559:K559)</f>
        <v>13713.53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459492.26</v>
      </c>
      <c r="G560" s="194">
        <f t="shared" ref="G560:L560" si="44">SUM(G557:G559)</f>
        <v>194542.72</v>
      </c>
      <c r="H560" s="194">
        <f t="shared" si="44"/>
        <v>5000</v>
      </c>
      <c r="I560" s="194">
        <f t="shared" si="44"/>
        <v>6781.3099999999995</v>
      </c>
      <c r="J560" s="194">
        <f t="shared" si="44"/>
        <v>0</v>
      </c>
      <c r="K560" s="194">
        <f t="shared" si="44"/>
        <v>4593</v>
      </c>
      <c r="L560" s="194">
        <f t="shared" si="44"/>
        <v>670409.29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925281.01</v>
      </c>
      <c r="G561" s="89">
        <f t="shared" ref="G561:L561" si="45">G550+G555+G560</f>
        <v>378805.58</v>
      </c>
      <c r="H561" s="89">
        <f t="shared" si="45"/>
        <v>5000</v>
      </c>
      <c r="I561" s="89">
        <f t="shared" si="45"/>
        <v>12652.279999999999</v>
      </c>
      <c r="J561" s="89">
        <f t="shared" si="45"/>
        <v>0</v>
      </c>
      <c r="K561" s="89">
        <f t="shared" si="45"/>
        <v>4593</v>
      </c>
      <c r="L561" s="89">
        <f t="shared" si="45"/>
        <v>1326331.8700000001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192766.43</v>
      </c>
      <c r="G572" s="18">
        <v>462837.88</v>
      </c>
      <c r="H572" s="18">
        <f>524357.64+49874.86+16030.63</f>
        <v>590263.13</v>
      </c>
      <c r="I572" s="87">
        <f t="shared" si="46"/>
        <v>1245867.44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70660.5</v>
      </c>
      <c r="I573" s="87">
        <f t="shared" si="46"/>
        <v>70660.5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99028.25</v>
      </c>
      <c r="I574" s="87">
        <f t="shared" si="46"/>
        <v>99028.25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947171.55</v>
      </c>
      <c r="I581" s="18">
        <v>473585.78</v>
      </c>
      <c r="J581" s="18">
        <v>418085.78</v>
      </c>
      <c r="K581" s="104">
        <f t="shared" ref="K581:K587" si="47">SUM(H581:J581)</f>
        <v>1838843.11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586737.44999999995</v>
      </c>
      <c r="I582" s="18">
        <v>78231.66</v>
      </c>
      <c r="J582" s="18">
        <v>117347.49</v>
      </c>
      <c r="K582" s="104">
        <f t="shared" si="47"/>
        <v>782316.6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55500</v>
      </c>
      <c r="K583" s="104">
        <f t="shared" si="47"/>
        <v>55500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17613.150000000001</v>
      </c>
      <c r="J584" s="18">
        <v>63027.06</v>
      </c>
      <c r="K584" s="104">
        <f t="shared" si="47"/>
        <v>80640.209999999992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1080.06</v>
      </c>
      <c r="I585" s="18">
        <v>5137</v>
      </c>
      <c r="J585" s="18">
        <v>7569.31</v>
      </c>
      <c r="K585" s="104">
        <f t="shared" si="47"/>
        <v>13786.369999999999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1534989.06</v>
      </c>
      <c r="I588" s="108">
        <f>SUM(I581:I587)</f>
        <v>574567.59000000008</v>
      </c>
      <c r="J588" s="108">
        <f>SUM(J581:J587)</f>
        <v>661529.64000000013</v>
      </c>
      <c r="K588" s="108">
        <f>SUM(K581:K587)</f>
        <v>2771086.29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146561.51</v>
      </c>
      <c r="I594" s="18">
        <v>142133.65</v>
      </c>
      <c r="J594" s="18">
        <v>352146.77</v>
      </c>
      <c r="K594" s="104">
        <f>SUM(H594:J594)</f>
        <v>640841.93000000005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146561.51</v>
      </c>
      <c r="I595" s="108">
        <f>SUM(I592:I594)</f>
        <v>142133.65</v>
      </c>
      <c r="J595" s="108">
        <f>SUM(J592:J594)</f>
        <v>352146.77</v>
      </c>
      <c r="K595" s="108">
        <f>SUM(K592:K594)</f>
        <v>640841.93000000005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21009.3+32976.41+3638.4+41777.86</f>
        <v>99401.97</v>
      </c>
      <c r="G601" s="18">
        <f>(F601*0.0765)+(F601*0.0749)</f>
        <v>15049.458257999999</v>
      </c>
      <c r="H601" s="18"/>
      <c r="I601" s="18">
        <f>3641.1+731.18</f>
        <v>4372.28</v>
      </c>
      <c r="J601" s="18"/>
      <c r="K601" s="18"/>
      <c r="L601" s="88">
        <f>SUM(F601:K601)</f>
        <v>118823.708258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6070.65+16711.14</f>
        <v>22781.79</v>
      </c>
      <c r="G602" s="18">
        <f>(F602*0.0765)+(F602*0.0749)</f>
        <v>3449.1630059999998</v>
      </c>
      <c r="H602" s="18"/>
      <c r="I602" s="18">
        <f>1202.31+292.47</f>
        <v>1494.78</v>
      </c>
      <c r="J602" s="18"/>
      <c r="K602" s="18"/>
      <c r="L602" s="88">
        <f>SUM(F602:K602)</f>
        <v>27725.733005999999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49242.55+25066.72</f>
        <v>74309.27</v>
      </c>
      <c r="G603" s="18">
        <f>(F603*0.0765)+(F603*0.0749)</f>
        <v>11250.423478000001</v>
      </c>
      <c r="H603" s="18"/>
      <c r="I603" s="18">
        <f>841.2+438.7</f>
        <v>1279.9000000000001</v>
      </c>
      <c r="J603" s="18"/>
      <c r="K603" s="18"/>
      <c r="L603" s="88">
        <f>SUM(F603:K603)</f>
        <v>86839.593477999995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196493.03000000003</v>
      </c>
      <c r="G604" s="108">
        <f t="shared" si="48"/>
        <v>29749.044741999998</v>
      </c>
      <c r="H604" s="108">
        <f t="shared" si="48"/>
        <v>0</v>
      </c>
      <c r="I604" s="108">
        <f t="shared" si="48"/>
        <v>7146.9599999999991</v>
      </c>
      <c r="J604" s="108">
        <f t="shared" si="48"/>
        <v>0</v>
      </c>
      <c r="K604" s="108">
        <f t="shared" si="48"/>
        <v>0</v>
      </c>
      <c r="L604" s="89">
        <f t="shared" si="48"/>
        <v>233389.03474199999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1653811.81</v>
      </c>
      <c r="H607" s="109">
        <f>SUM(F44)</f>
        <v>1653811.81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196925.72999999998</v>
      </c>
      <c r="H608" s="109">
        <f>SUM(G44)</f>
        <v>196925.72999999998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164779.69</v>
      </c>
      <c r="H609" s="109">
        <f>SUM(H44)</f>
        <v>164779.69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94594.45</v>
      </c>
      <c r="H610" s="109">
        <f>SUM(I44)</f>
        <v>94594.45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323364.69</v>
      </c>
      <c r="H611" s="109">
        <f>SUM(J44)</f>
        <v>323364.69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593543.37</v>
      </c>
      <c r="H612" s="109">
        <f>F466</f>
        <v>593543.36999999732</v>
      </c>
      <c r="I612" s="121" t="s">
        <v>106</v>
      </c>
      <c r="J612" s="109">
        <f t="shared" ref="J612:J645" si="49">G612-H612</f>
        <v>2.6775524020195007E-9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156858.34</v>
      </c>
      <c r="H613" s="109">
        <f>G466</f>
        <v>156858.34000000008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84600.71</v>
      </c>
      <c r="H614" s="109">
        <f>H466</f>
        <v>84600.70999999973</v>
      </c>
      <c r="I614" s="121" t="s">
        <v>110</v>
      </c>
      <c r="J614" s="109">
        <f t="shared" si="49"/>
        <v>2.7648638933897018E-10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94594.45</v>
      </c>
      <c r="H615" s="109">
        <f>I466</f>
        <v>94594.450000000012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260540.94</v>
      </c>
      <c r="H616" s="109">
        <f>J466</f>
        <v>260540.94000000006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62975425.849999994</v>
      </c>
      <c r="H617" s="104">
        <f>SUM(F458)</f>
        <v>62975425.850000001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1321786.02</v>
      </c>
      <c r="H618" s="104">
        <f>SUM(G458)</f>
        <v>1321786.02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1923413.6300000001</v>
      </c>
      <c r="H619" s="104">
        <f>SUM(H458)</f>
        <v>1923413.63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451323.93</v>
      </c>
      <c r="H621" s="104">
        <f>SUM(J458)</f>
        <v>451323.93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62738199.270000011</v>
      </c>
      <c r="H622" s="104">
        <f>SUM(F462)</f>
        <v>62738199.270000003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1931954.0699999998</v>
      </c>
      <c r="H623" s="104">
        <f>SUM(H462)</f>
        <v>1931954.07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721891.42</v>
      </c>
      <c r="H624" s="104">
        <f>I361</f>
        <v>721891.42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1305899.02</v>
      </c>
      <c r="H625" s="104">
        <f>SUM(G462)</f>
        <v>1305899.02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314129.49</v>
      </c>
      <c r="H626" s="104">
        <f>SUM(I462)</f>
        <v>314129.49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451323.93</v>
      </c>
      <c r="H627" s="164">
        <f>SUM(J458)</f>
        <v>451323.93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377516.72</v>
      </c>
      <c r="H628" s="164">
        <f>SUM(J462)</f>
        <v>377516.72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30750.19</v>
      </c>
      <c r="H629" s="104">
        <f>SUM(F451)</f>
        <v>30750.19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292614.5</v>
      </c>
      <c r="H630" s="104">
        <f>SUM(G451)</f>
        <v>292614.5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323364.69</v>
      </c>
      <c r="H632" s="104">
        <f>SUM(I451)</f>
        <v>323364.69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1323.93</v>
      </c>
      <c r="H634" s="104">
        <f>H400</f>
        <v>1323.93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450000</v>
      </c>
      <c r="H635" s="104">
        <f>G400</f>
        <v>450000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451323.93</v>
      </c>
      <c r="H636" s="104">
        <f>L400</f>
        <v>451323.93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2771086.29</v>
      </c>
      <c r="H637" s="104">
        <f>L200+L218+L236</f>
        <v>2771086.29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640841.93000000005</v>
      </c>
      <c r="H638" s="104">
        <f>(J249+J330)-(J247+J328)</f>
        <v>640841.92999999993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1534989.06</v>
      </c>
      <c r="H639" s="104">
        <f>H588</f>
        <v>1534989.06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574567.59</v>
      </c>
      <c r="H640" s="104">
        <f>I588</f>
        <v>574567.59000000008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661529.64</v>
      </c>
      <c r="H641" s="104">
        <f>J588</f>
        <v>661529.64000000013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450000</v>
      </c>
      <c r="H645" s="104">
        <f>K258+K339</f>
        <v>450000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26396336.440000001</v>
      </c>
      <c r="G650" s="19">
        <f>(L221+L301+L351)</f>
        <v>14088372.790000003</v>
      </c>
      <c r="H650" s="19">
        <f>(L239+L320+L352)</f>
        <v>21949561.250000004</v>
      </c>
      <c r="I650" s="19">
        <f>SUM(F650:H650)</f>
        <v>62434270.480000004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425812.77935408516</v>
      </c>
      <c r="G651" s="19">
        <f>(L351/IF(SUM(L350:L352)=0,1,SUM(L350:L352))*(SUM(G89:G102)))</f>
        <v>275280.56803539628</v>
      </c>
      <c r="H651" s="19">
        <f>(L352/IF(SUM(L350:L352)=0,1,SUM(L350:L352))*(SUM(G89:G102)))</f>
        <v>307540.73261051869</v>
      </c>
      <c r="I651" s="19">
        <f>SUM(F651:H651)</f>
        <v>1008634.0800000002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1534989.06</v>
      </c>
      <c r="G652" s="19">
        <f>(L218+L298)-(J218+J298)</f>
        <v>574567.59</v>
      </c>
      <c r="H652" s="19">
        <f>(L236+L317)-(J236+J317)</f>
        <v>700453.64</v>
      </c>
      <c r="I652" s="19">
        <f>SUM(F652:H652)</f>
        <v>2810010.29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458151.64825800003</v>
      </c>
      <c r="G653" s="200">
        <f>SUM(G565:G577)+SUM(I592:I594)+L602</f>
        <v>632697.26300600008</v>
      </c>
      <c r="H653" s="200">
        <f>SUM(H565:H577)+SUM(J592:J594)+L603</f>
        <v>1198938.2434779999</v>
      </c>
      <c r="I653" s="19">
        <f>SUM(F653:H653)</f>
        <v>2289787.1547419997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23977382.952387914</v>
      </c>
      <c r="G654" s="19">
        <f>G650-SUM(G651:G653)</f>
        <v>12605827.368958607</v>
      </c>
      <c r="H654" s="19">
        <f>H650-SUM(H651:H653)</f>
        <v>19742628.633911483</v>
      </c>
      <c r="I654" s="19">
        <f>I650-SUM(I651:I653)</f>
        <v>56325838.955258004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1943.1</v>
      </c>
      <c r="G655" s="249">
        <v>1232.17</v>
      </c>
      <c r="H655" s="249">
        <v>1752.2</v>
      </c>
      <c r="I655" s="19">
        <f>SUM(F655:H655)</f>
        <v>4927.47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12339.76</v>
      </c>
      <c r="G657" s="19">
        <f>ROUND(G654/G655,2)</f>
        <v>10230.59</v>
      </c>
      <c r="H657" s="19">
        <f>ROUND(H654/H655,2)</f>
        <v>11267.34</v>
      </c>
      <c r="I657" s="19">
        <f>ROUND(I654/I655,2)</f>
        <v>11430.99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-47.61</v>
      </c>
      <c r="I660" s="19">
        <f>SUM(F660:H660)</f>
        <v>-47.61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12339.76</v>
      </c>
      <c r="G662" s="19">
        <f>ROUND((G654+G659)/(G655+G660),2)</f>
        <v>10230.59</v>
      </c>
      <c r="H662" s="19">
        <f>ROUND((H654+H659)/(H655+H660),2)</f>
        <v>11582.04</v>
      </c>
      <c r="I662" s="19">
        <f>ROUND((I654+I659)/(I655+I660),2)</f>
        <v>11542.51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5C23-2988-4FCF-BF95-48FCEFC8BBAE}">
  <sheetPr>
    <tabColor indexed="20"/>
  </sheetPr>
  <dimension ref="A1:C52"/>
  <sheetViews>
    <sheetView topLeftCell="A13"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LONDONDERRY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17787159.390000001</v>
      </c>
      <c r="C9" s="230">
        <f>'DOE25'!G189+'DOE25'!G207+'DOE25'!G225+'DOE25'!G268+'DOE25'!G287+'DOE25'!G306</f>
        <v>6866519.9600000009</v>
      </c>
    </row>
    <row r="10" spans="1:3" x14ac:dyDescent="0.2">
      <c r="A10" t="s">
        <v>813</v>
      </c>
      <c r="B10" s="241">
        <f>16164935.73+157869.76+0.01</f>
        <v>16322805.5</v>
      </c>
      <c r="C10" s="241">
        <v>6681766.8899999997</v>
      </c>
    </row>
    <row r="11" spans="1:3" x14ac:dyDescent="0.2">
      <c r="A11" t="s">
        <v>814</v>
      </c>
      <c r="B11" s="241">
        <v>943696.44</v>
      </c>
      <c r="C11" s="241">
        <f>72192.78+9276.2+18621.5</f>
        <v>100090.48</v>
      </c>
    </row>
    <row r="12" spans="1:3" x14ac:dyDescent="0.2">
      <c r="A12" t="s">
        <v>815</v>
      </c>
      <c r="B12" s="241">
        <v>520657.45</v>
      </c>
      <c r="C12" s="241">
        <f>39830.29+44832.3</f>
        <v>84662.59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17787159.390000001</v>
      </c>
      <c r="C13" s="232">
        <f>SUM(C10:C12)</f>
        <v>6866519.96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7871260.9500000002</v>
      </c>
      <c r="C18" s="230">
        <f>'DOE25'!G190+'DOE25'!G208+'DOE25'!G226+'DOE25'!G269+'DOE25'!G288+'DOE25'!G307</f>
        <v>2898854.3</v>
      </c>
    </row>
    <row r="19" spans="1:3" x14ac:dyDescent="0.2">
      <c r="A19" t="s">
        <v>813</v>
      </c>
      <c r="B19" s="241">
        <f>4032523.88+811882.84</f>
        <v>4844406.72</v>
      </c>
      <c r="C19" s="241">
        <v>2209766.5699999998</v>
      </c>
    </row>
    <row r="20" spans="1:3" x14ac:dyDescent="0.2">
      <c r="A20" t="s">
        <v>814</v>
      </c>
      <c r="B20" s="241">
        <f>2134173.7+241692.76</f>
        <v>2375866.46</v>
      </c>
      <c r="C20" s="241">
        <f>181830.28+376216.3+18100.11</f>
        <v>576146.68999999994</v>
      </c>
    </row>
    <row r="21" spans="1:3" x14ac:dyDescent="0.2">
      <c r="A21" t="s">
        <v>815</v>
      </c>
      <c r="B21" s="241">
        <f>371602.56+120500.77+148372.66+10511.78</f>
        <v>650987.77</v>
      </c>
      <c r="C21" s="241">
        <f>49800.56+63140.48</f>
        <v>112941.04000000001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7871260.9499999993</v>
      </c>
      <c r="C22" s="232">
        <f>SUM(C19:C21)</f>
        <v>2898854.3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53269.18</v>
      </c>
      <c r="C27" s="235">
        <f>'DOE25'!G191+'DOE25'!G209+'DOE25'!G227+'DOE25'!G270+'DOE25'!G289+'DOE25'!G308</f>
        <v>4075.08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53269.18</v>
      </c>
      <c r="C30" s="241">
        <v>4075.08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53269.18</v>
      </c>
      <c r="C31" s="232">
        <f>SUM(C28:C30)</f>
        <v>4075.08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770833.29999999993</v>
      </c>
      <c r="C36" s="236">
        <f>'DOE25'!G192+'DOE25'!G210+'DOE25'!G228+'DOE25'!G271+'DOE25'!G290+'DOE25'!G309</f>
        <v>129449.21999999999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770833.3</v>
      </c>
      <c r="C39" s="241">
        <v>129449.22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770833.3</v>
      </c>
      <c r="C40" s="232">
        <f>SUM(C37:C39)</f>
        <v>129449.22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A8BA-D8AB-45AC-8647-27D6A8746E7E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LONDONDERRY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38133304.369999997</v>
      </c>
      <c r="D5" s="20">
        <f>SUM('DOE25'!L189:L192)+SUM('DOE25'!L207:L210)+SUM('DOE25'!L225:L228)-F5-G5</f>
        <v>37904516.490000002</v>
      </c>
      <c r="E5" s="244"/>
      <c r="F5" s="256">
        <f>SUM('DOE25'!J189:J192)+SUM('DOE25'!J207:J210)+SUM('DOE25'!J225:J228)</f>
        <v>194311.57999999996</v>
      </c>
      <c r="G5" s="53">
        <f>SUM('DOE25'!K189:K192)+SUM('DOE25'!K207:K210)+SUM('DOE25'!K225:K228)</f>
        <v>34476.300000000003</v>
      </c>
      <c r="H5" s="260"/>
    </row>
    <row r="6" spans="1:9" x14ac:dyDescent="0.2">
      <c r="A6" s="32">
        <v>2100</v>
      </c>
      <c r="B6" t="s">
        <v>835</v>
      </c>
      <c r="C6" s="246">
        <f t="shared" si="0"/>
        <v>5470737.3800000008</v>
      </c>
      <c r="D6" s="20">
        <f>'DOE25'!L194+'DOE25'!L212+'DOE25'!L230-F6-G6</f>
        <v>5468643.3800000008</v>
      </c>
      <c r="E6" s="244"/>
      <c r="F6" s="256">
        <f>'DOE25'!J194+'DOE25'!J212+'DOE25'!J230</f>
        <v>0</v>
      </c>
      <c r="G6" s="53">
        <f>'DOE25'!K194+'DOE25'!K212+'DOE25'!K230</f>
        <v>2094</v>
      </c>
      <c r="H6" s="260"/>
    </row>
    <row r="7" spans="1:9" x14ac:dyDescent="0.2">
      <c r="A7" s="32">
        <v>2200</v>
      </c>
      <c r="B7" t="s">
        <v>868</v>
      </c>
      <c r="C7" s="246">
        <f t="shared" si="0"/>
        <v>2007985.32</v>
      </c>
      <c r="D7" s="20">
        <f>'DOE25'!L195+'DOE25'!L213+'DOE25'!L231-F7-G7</f>
        <v>1940977.73</v>
      </c>
      <c r="E7" s="244"/>
      <c r="F7" s="256">
        <f>'DOE25'!J195+'DOE25'!J213+'DOE25'!J231</f>
        <v>63884.59</v>
      </c>
      <c r="G7" s="53">
        <f>'DOE25'!K195+'DOE25'!K213+'DOE25'!K231</f>
        <v>3123</v>
      </c>
      <c r="H7" s="260"/>
    </row>
    <row r="8" spans="1:9" x14ac:dyDescent="0.2">
      <c r="A8" s="32">
        <v>2300</v>
      </c>
      <c r="B8" t="s">
        <v>836</v>
      </c>
      <c r="C8" s="246">
        <f t="shared" si="0"/>
        <v>78603.599999999977</v>
      </c>
      <c r="D8" s="244"/>
      <c r="E8" s="20">
        <f>'DOE25'!L196+'DOE25'!L214+'DOE25'!L232-F8-G8-D9-D11</f>
        <v>60743.599999999977</v>
      </c>
      <c r="F8" s="256">
        <f>'DOE25'!J196+'DOE25'!J214+'DOE25'!J232</f>
        <v>3098.0299999999997</v>
      </c>
      <c r="G8" s="53">
        <f>'DOE25'!K196+'DOE25'!K214+'DOE25'!K232</f>
        <v>14761.97</v>
      </c>
      <c r="H8" s="260"/>
    </row>
    <row r="9" spans="1:9" x14ac:dyDescent="0.2">
      <c r="A9" s="32">
        <v>2310</v>
      </c>
      <c r="B9" t="s">
        <v>852</v>
      </c>
      <c r="C9" s="246">
        <f t="shared" si="0"/>
        <v>38467.360000000001</v>
      </c>
      <c r="D9" s="245">
        <v>38467.360000000001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18632.03</v>
      </c>
      <c r="D10" s="244"/>
      <c r="E10" s="245">
        <v>18632.03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546772.13</v>
      </c>
      <c r="D11" s="245">
        <v>546772.13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2805310.79</v>
      </c>
      <c r="D12" s="20">
        <f>'DOE25'!L197+'DOE25'!L215+'DOE25'!L233-F12-G12</f>
        <v>2792781.79</v>
      </c>
      <c r="E12" s="244"/>
      <c r="F12" s="256">
        <f>'DOE25'!J197+'DOE25'!J215+'DOE25'!J233</f>
        <v>0</v>
      </c>
      <c r="G12" s="53">
        <f>'DOE25'!K197+'DOE25'!K215+'DOE25'!K233</f>
        <v>12529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720464.41</v>
      </c>
      <c r="D13" s="244"/>
      <c r="E13" s="20">
        <f>'DOE25'!L198+'DOE25'!L216+'DOE25'!L234-F13-G13</f>
        <v>720464.41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5667664.6599999992</v>
      </c>
      <c r="D14" s="20">
        <f>'DOE25'!L199+'DOE25'!L217+'DOE25'!L235-F14-G14</f>
        <v>5501130.1099999994</v>
      </c>
      <c r="E14" s="244"/>
      <c r="F14" s="256">
        <f>'DOE25'!J199+'DOE25'!J217+'DOE25'!J235</f>
        <v>165964.54999999999</v>
      </c>
      <c r="G14" s="53">
        <f>'DOE25'!K199+'DOE25'!K217+'DOE25'!K235</f>
        <v>570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2771086.29</v>
      </c>
      <c r="D15" s="20">
        <f>'DOE25'!L200+'DOE25'!L218+'DOE25'!L236-F15-G15</f>
        <v>2771086.29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993376.80999999982</v>
      </c>
      <c r="D16" s="244"/>
      <c r="E16" s="20">
        <f>'DOE25'!L201+'DOE25'!L219+'DOE25'!L237-F16-G16</f>
        <v>856171.62999999989</v>
      </c>
      <c r="F16" s="256">
        <f>'DOE25'!J201+'DOE25'!J219+'DOE25'!J237</f>
        <v>137205.18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13090.699999999999</v>
      </c>
      <c r="D17" s="20">
        <f>'DOE25'!L243-F17-G17</f>
        <v>13090.699999999999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3041335.45</v>
      </c>
      <c r="D25" s="244"/>
      <c r="E25" s="244"/>
      <c r="F25" s="259"/>
      <c r="G25" s="257"/>
      <c r="H25" s="258">
        <f>'DOE25'!L252+'DOE25'!L253+'DOE25'!L333+'DOE25'!L334</f>
        <v>3041335.45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635592.78</v>
      </c>
      <c r="D29" s="20">
        <f>'DOE25'!L350+'DOE25'!L351+'DOE25'!L352-'DOE25'!I359-F29-G29</f>
        <v>626689.53</v>
      </c>
      <c r="E29" s="244"/>
      <c r="F29" s="256">
        <f>'DOE25'!J350+'DOE25'!J351+'DOE25'!J352</f>
        <v>8237</v>
      </c>
      <c r="G29" s="53">
        <f>'DOE25'!K350+'DOE25'!K351+'DOE25'!K352</f>
        <v>666.25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1925991.5699999998</v>
      </c>
      <c r="D31" s="20">
        <f>'DOE25'!L282+'DOE25'!L301+'DOE25'!L320+'DOE25'!L325+'DOE25'!L326+'DOE25'!L327-F31-G31</f>
        <v>1846384.4</v>
      </c>
      <c r="E31" s="244"/>
      <c r="F31" s="256">
        <f>'DOE25'!J282+'DOE25'!J301+'DOE25'!J320+'DOE25'!J325+'DOE25'!J326+'DOE25'!J327</f>
        <v>76378</v>
      </c>
      <c r="G31" s="53">
        <f>'DOE25'!K282+'DOE25'!K301+'DOE25'!K320+'DOE25'!K325+'DOE25'!K326+'DOE25'!K327</f>
        <v>3229.1699999999996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59450539.910000004</v>
      </c>
      <c r="E33" s="247">
        <f>SUM(E5:E31)</f>
        <v>1656011.67</v>
      </c>
      <c r="F33" s="247">
        <f>SUM(F5:F31)</f>
        <v>649078.92999999993</v>
      </c>
      <c r="G33" s="247">
        <f>SUM(G5:G31)</f>
        <v>71449.69</v>
      </c>
      <c r="H33" s="247">
        <f>SUM(H5:H31)</f>
        <v>3041335.45</v>
      </c>
    </row>
    <row r="35" spans="2:8" ht="12" thickBot="1" x14ac:dyDescent="0.25">
      <c r="B35" s="254" t="s">
        <v>881</v>
      </c>
      <c r="D35" s="255">
        <f>E33</f>
        <v>1656011.67</v>
      </c>
      <c r="E35" s="250"/>
    </row>
    <row r="36" spans="2:8" ht="12" thickTop="1" x14ac:dyDescent="0.2">
      <c r="B36" t="s">
        <v>849</v>
      </c>
      <c r="D36" s="20">
        <f>D33</f>
        <v>59450539.910000004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32B0-CFDC-41A2-A3C8-8B57A0B05C6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LONDONDERRY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1573284.83</v>
      </c>
      <c r="D9" s="95">
        <f>'DOE25'!G9</f>
        <v>6600</v>
      </c>
      <c r="E9" s="95">
        <f>'DOE25'!H9</f>
        <v>0</v>
      </c>
      <c r="F9" s="95">
        <f>'DOE25'!I9</f>
        <v>0</v>
      </c>
      <c r="G9" s="95">
        <f>'DOE25'!J9</f>
        <v>323364.69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134512.29</v>
      </c>
      <c r="E12" s="95">
        <f>'DOE25'!H12</f>
        <v>0</v>
      </c>
      <c r="F12" s="95">
        <f>'DOE25'!I12</f>
        <v>94594.45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63379.02</v>
      </c>
      <c r="D13" s="95">
        <f>'DOE25'!G13</f>
        <v>14316.25</v>
      </c>
      <c r="E13" s="95">
        <f>'DOE25'!H13</f>
        <v>164779.69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5994</v>
      </c>
      <c r="D14" s="95">
        <f>'DOE25'!G14</f>
        <v>1286.58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40210.61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11153.96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1653811.81</v>
      </c>
      <c r="D19" s="41">
        <f>SUM(D9:D18)</f>
        <v>196925.72999999998</v>
      </c>
      <c r="E19" s="41">
        <f>SUM(E9:E18)</f>
        <v>164779.69</v>
      </c>
      <c r="F19" s="41">
        <f>SUM(F9:F18)</f>
        <v>94594.45</v>
      </c>
      <c r="G19" s="41">
        <f>SUM(G9:G18)</f>
        <v>323364.69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111297.62</v>
      </c>
      <c r="D22" s="95">
        <f>'DOE25'!G23</f>
        <v>0</v>
      </c>
      <c r="E22" s="95">
        <f>'DOE25'!H23</f>
        <v>54985.37</v>
      </c>
      <c r="F22" s="95">
        <f>'DOE25'!I23</f>
        <v>0</v>
      </c>
      <c r="G22" s="95">
        <f>'DOE25'!J23</f>
        <v>62823.75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248142.73</v>
      </c>
      <c r="D24" s="95">
        <f>'DOE25'!G25</f>
        <v>32586.93</v>
      </c>
      <c r="E24" s="95">
        <f>'DOE25'!H25</f>
        <v>2354.46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484622.39</v>
      </c>
      <c r="D28" s="95">
        <f>'DOE25'!G29</f>
        <v>7480.46</v>
      </c>
      <c r="E28" s="95">
        <f>'DOE25'!H29</f>
        <v>22839.15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228303.49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-12097.79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1060268.44</v>
      </c>
      <c r="D32" s="41">
        <f>SUM(D22:D31)</f>
        <v>40067.39</v>
      </c>
      <c r="E32" s="41">
        <f>SUM(E22:E31)</f>
        <v>80178.98000000001</v>
      </c>
      <c r="F32" s="41">
        <f>SUM(F22:F31)</f>
        <v>0</v>
      </c>
      <c r="G32" s="41">
        <f>SUM(G22:G31)</f>
        <v>62823.75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40210.61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8300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84600.71</v>
      </c>
      <c r="F37" s="95">
        <f>'DOE25'!I38</f>
        <v>94594.45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116647.73</v>
      </c>
      <c r="E40" s="95">
        <f>'DOE25'!H41</f>
        <v>0</v>
      </c>
      <c r="F40" s="95">
        <f>'DOE25'!I41</f>
        <v>0</v>
      </c>
      <c r="G40" s="95">
        <f>'DOE25'!J41</f>
        <v>260540.94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585243.37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593543.37</v>
      </c>
      <c r="D42" s="41">
        <f>SUM(D34:D41)</f>
        <v>156858.34</v>
      </c>
      <c r="E42" s="41">
        <f>SUM(E34:E41)</f>
        <v>84600.71</v>
      </c>
      <c r="F42" s="41">
        <f>SUM(F34:F41)</f>
        <v>94594.45</v>
      </c>
      <c r="G42" s="41">
        <f>SUM(G34:G41)</f>
        <v>260540.94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1653811.81</v>
      </c>
      <c r="D43" s="41">
        <f>D42+D32</f>
        <v>196925.72999999998</v>
      </c>
      <c r="E43" s="41">
        <f>E42+E32</f>
        <v>164779.69</v>
      </c>
      <c r="F43" s="41">
        <f>F42+F32</f>
        <v>94594.45</v>
      </c>
      <c r="G43" s="41">
        <f>G42+G32</f>
        <v>323364.69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39024073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197750.68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283.97000000000003</v>
      </c>
      <c r="E51" s="95">
        <f>'DOE25'!H88</f>
        <v>0</v>
      </c>
      <c r="F51" s="95">
        <f>'DOE25'!I88</f>
        <v>0</v>
      </c>
      <c r="G51" s="95">
        <f>'DOE25'!J88</f>
        <v>1323.93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998552.53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318091.06</v>
      </c>
      <c r="D53" s="95">
        <f>SUM('DOE25'!G90:G102)</f>
        <v>10081.549999999999</v>
      </c>
      <c r="E53" s="95">
        <f>SUM('DOE25'!H90:H102)</f>
        <v>13913.8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515841.74</v>
      </c>
      <c r="D54" s="130">
        <f>SUM(D49:D53)</f>
        <v>1008918.05</v>
      </c>
      <c r="E54" s="130">
        <f>SUM(E49:E53)</f>
        <v>13913.8</v>
      </c>
      <c r="F54" s="130">
        <f>SUM(F49:F53)</f>
        <v>0</v>
      </c>
      <c r="G54" s="130">
        <f>SUM(G49:G53)</f>
        <v>1323.93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39539914.740000002</v>
      </c>
      <c r="D55" s="22">
        <f>D48+D54</f>
        <v>1008918.05</v>
      </c>
      <c r="E55" s="22">
        <f>E48+E54</f>
        <v>13913.8</v>
      </c>
      <c r="F55" s="22">
        <f>F48+F54</f>
        <v>0</v>
      </c>
      <c r="G55" s="22">
        <f>G48+G54</f>
        <v>1323.93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10705395.390000001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6516468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4107326.61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21329190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647399.4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386960.63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22001.279999999999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23031.99</v>
      </c>
      <c r="E69" s="95">
        <f>SUM('DOE25'!H123:H127)</f>
        <v>54450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1056361.31</v>
      </c>
      <c r="D70" s="130">
        <f>SUM(D64:D69)</f>
        <v>23031.99</v>
      </c>
      <c r="E70" s="130">
        <f>SUM(E64:E69)</f>
        <v>54450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22385551.309999999</v>
      </c>
      <c r="D73" s="130">
        <f>SUM(D71:D72)+D70+D62</f>
        <v>23031.99</v>
      </c>
      <c r="E73" s="130">
        <f>SUM(E71:E72)+E70+E62</f>
        <v>54450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7938.58</v>
      </c>
      <c r="D77" s="95">
        <f>'DOE25'!G139</f>
        <v>1201.47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355560.18</v>
      </c>
      <c r="D80" s="95">
        <f>SUM('DOE25'!G145:G153)</f>
        <v>288634.51</v>
      </c>
      <c r="E80" s="95">
        <f>SUM('DOE25'!H145:H153)</f>
        <v>1855049.83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363498.76</v>
      </c>
      <c r="D83" s="131">
        <f>SUM(D77:D82)</f>
        <v>289835.98</v>
      </c>
      <c r="E83" s="131">
        <f>SUM(E77:E82)</f>
        <v>1855049.83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450000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377516.72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308944.32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686461.04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450000</v>
      </c>
    </row>
    <row r="96" spans="1:7" ht="12.75" thickTop="1" thickBot="1" x14ac:dyDescent="0.25">
      <c r="A96" s="33" t="s">
        <v>797</v>
      </c>
      <c r="C96" s="86">
        <f>C55+C73+C83+C95</f>
        <v>62975425.849999994</v>
      </c>
      <c r="D96" s="86">
        <f>D55+D73+D83+D95</f>
        <v>1321786.02</v>
      </c>
      <c r="E96" s="86">
        <f>E55+E73+E83+E95</f>
        <v>1923413.6300000001</v>
      </c>
      <c r="F96" s="86">
        <f>F55+F73+F83+F95</f>
        <v>0</v>
      </c>
      <c r="G96" s="86">
        <f>G55+G73+G95</f>
        <v>451323.93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25685562.140000001</v>
      </c>
      <c r="D101" s="24" t="s">
        <v>312</v>
      </c>
      <c r="E101" s="95">
        <f>('DOE25'!L268)+('DOE25'!L287)+('DOE25'!L306)</f>
        <v>170875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11137319.65</v>
      </c>
      <c r="D102" s="24" t="s">
        <v>312</v>
      </c>
      <c r="E102" s="95">
        <f>('DOE25'!L269)+('DOE25'!L288)+('DOE25'!L307)</f>
        <v>1205733.71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99028.25</v>
      </c>
      <c r="D103" s="24" t="s">
        <v>312</v>
      </c>
      <c r="E103" s="95">
        <f>('DOE25'!L270)+('DOE25'!L289)+('DOE25'!L308)</f>
        <v>86364.099999999991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1211394.3299999998</v>
      </c>
      <c r="D104" s="24" t="s">
        <v>312</v>
      </c>
      <c r="E104" s="95">
        <f>+('DOE25'!L271)+('DOE25'!L290)+('DOE25'!L309)</f>
        <v>54450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5962.5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13090.699999999999</v>
      </c>
      <c r="D106" s="24" t="s">
        <v>312</v>
      </c>
      <c r="E106" s="95">
        <f>+ SUM('DOE25'!L325:L327)</f>
        <v>31393.23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38146395.07</v>
      </c>
      <c r="D107" s="86">
        <f>SUM(D101:D106)</f>
        <v>0</v>
      </c>
      <c r="E107" s="86">
        <f>SUM(E101:E106)</f>
        <v>1554778.54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5470737.3800000008</v>
      </c>
      <c r="D110" s="24" t="s">
        <v>312</v>
      </c>
      <c r="E110" s="95">
        <f>+('DOE25'!L273)+('DOE25'!L292)+('DOE25'!L311)</f>
        <v>228208.45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2007985.32</v>
      </c>
      <c r="D111" s="24" t="s">
        <v>312</v>
      </c>
      <c r="E111" s="95">
        <f>+('DOE25'!L274)+('DOE25'!L293)+('DOE25'!L312)</f>
        <v>96521.01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663843.09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2805310.79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720464.41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5667664.6599999992</v>
      </c>
      <c r="D115" s="24" t="s">
        <v>312</v>
      </c>
      <c r="E115" s="95">
        <f>+('DOE25'!L278)+('DOE25'!L297)+('DOE25'!L316)</f>
        <v>13522.070000000002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2771086.29</v>
      </c>
      <c r="D116" s="24" t="s">
        <v>312</v>
      </c>
      <c r="E116" s="95">
        <f>+('DOE25'!L279)+('DOE25'!L298)+('DOE25'!L317)</f>
        <v>38924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993376.80999999994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1305899.02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21100468.75</v>
      </c>
      <c r="D120" s="86">
        <f>SUM(D110:D119)</f>
        <v>1305899.02</v>
      </c>
      <c r="E120" s="86">
        <f>SUM(E110:E119)</f>
        <v>377175.53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314129.49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1740000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1301335.45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377516.72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82.4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451241.52999999997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-1323.929999999993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3491335.4499999997</v>
      </c>
      <c r="D136" s="141">
        <f>SUM(D122:D135)</f>
        <v>0</v>
      </c>
      <c r="E136" s="141">
        <f>SUM(E122:E135)</f>
        <v>0</v>
      </c>
      <c r="F136" s="141">
        <f>SUM(F122:F135)</f>
        <v>314129.49</v>
      </c>
      <c r="G136" s="141">
        <f>SUM(G122:G135)</f>
        <v>377516.72</v>
      </c>
    </row>
    <row r="137" spans="1:9" ht="12.75" thickTop="1" thickBot="1" x14ac:dyDescent="0.25">
      <c r="A137" s="33" t="s">
        <v>267</v>
      </c>
      <c r="C137" s="86">
        <f>(C107+C120+C136)</f>
        <v>62738199.270000003</v>
      </c>
      <c r="D137" s="86">
        <f>(D107+D120+D136)</f>
        <v>1305899.02</v>
      </c>
      <c r="E137" s="86">
        <f>(E107+E120+E136)</f>
        <v>1931954.07</v>
      </c>
      <c r="F137" s="86">
        <f>(F107+F120+F136)</f>
        <v>314129.49</v>
      </c>
      <c r="G137" s="86">
        <f>(G107+G120+G136)</f>
        <v>377516.72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13</v>
      </c>
      <c r="D143" s="153">
        <f>'DOE25'!H480</f>
        <v>20</v>
      </c>
      <c r="E143" s="153">
        <f>'DOE25'!I480</f>
        <v>20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04/02</v>
      </c>
      <c r="C144" s="152" t="str">
        <f>'DOE25'!G481</f>
        <v>02/04</v>
      </c>
      <c r="D144" s="152" t="str">
        <f>'DOE25'!H481</f>
        <v>06/05</v>
      </c>
      <c r="E144" s="152" t="str">
        <f>'DOE25'!I481</f>
        <v>07/08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07/22</v>
      </c>
      <c r="C145" s="152" t="str">
        <f>'DOE25'!G482</f>
        <v>08/16</v>
      </c>
      <c r="D145" s="152" t="str">
        <f>'DOE25'!H482</f>
        <v>08/25</v>
      </c>
      <c r="E145" s="152" t="str">
        <f>'DOE25'!I482</f>
        <v>07/28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12030000</v>
      </c>
      <c r="C146" s="137">
        <f>'DOE25'!G483</f>
        <v>6935000</v>
      </c>
      <c r="D146" s="137">
        <f>'DOE25'!H483</f>
        <v>5500000</v>
      </c>
      <c r="E146" s="137">
        <f>'DOE25'!I483</f>
        <v>5100000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4.57</v>
      </c>
      <c r="C147" s="137">
        <f>'DOE25'!G484</f>
        <v>3.25</v>
      </c>
      <c r="D147" s="137">
        <f>'DOE25'!H484</f>
        <v>3.9</v>
      </c>
      <c r="E147" s="137">
        <f>'DOE25'!I484</f>
        <v>4.09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9350000</v>
      </c>
      <c r="C148" s="137">
        <f>'DOE25'!G485</f>
        <v>4095000</v>
      </c>
      <c r="D148" s="137">
        <f>'DOE25'!H485</f>
        <v>4675000</v>
      </c>
      <c r="E148" s="137">
        <f>'DOE25'!I485</f>
        <v>5100000</v>
      </c>
      <c r="F148" s="137">
        <f>'DOE25'!J485</f>
        <v>0</v>
      </c>
      <c r="G148" s="138">
        <f>SUM(B148:F148)</f>
        <v>23220000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670000</v>
      </c>
      <c r="C150" s="137">
        <f>'DOE25'!G487</f>
        <v>540000</v>
      </c>
      <c r="D150" s="137">
        <f>'DOE25'!H487</f>
        <v>275000</v>
      </c>
      <c r="E150" s="137">
        <f>'DOE25'!I487</f>
        <v>255000</v>
      </c>
      <c r="F150" s="137">
        <f>'DOE25'!J487</f>
        <v>0</v>
      </c>
      <c r="G150" s="138">
        <f t="shared" si="0"/>
        <v>1740000</v>
      </c>
    </row>
    <row r="151" spans="1:7" x14ac:dyDescent="0.2">
      <c r="A151" s="22" t="s">
        <v>35</v>
      </c>
      <c r="B151" s="137">
        <f>'DOE25'!F488</f>
        <v>8680000</v>
      </c>
      <c r="C151" s="137">
        <f>'DOE25'!G488</f>
        <v>3555000</v>
      </c>
      <c r="D151" s="137">
        <f>'DOE25'!H488</f>
        <v>4400000</v>
      </c>
      <c r="E151" s="137">
        <f>'DOE25'!I488</f>
        <v>4845000</v>
      </c>
      <c r="F151" s="137">
        <f>'DOE25'!J488</f>
        <v>0</v>
      </c>
      <c r="G151" s="138">
        <f t="shared" si="0"/>
        <v>21480000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8680000</v>
      </c>
      <c r="C153" s="137">
        <f>'DOE25'!G490</f>
        <v>3555000</v>
      </c>
      <c r="D153" s="137">
        <f>'DOE25'!H490</f>
        <v>4400000</v>
      </c>
      <c r="E153" s="137">
        <f>'DOE25'!I490</f>
        <v>4845000</v>
      </c>
      <c r="F153" s="137">
        <f>'DOE25'!J490</f>
        <v>0</v>
      </c>
      <c r="G153" s="138">
        <f t="shared" si="0"/>
        <v>21480000</v>
      </c>
    </row>
    <row r="154" spans="1:7" x14ac:dyDescent="0.2">
      <c r="A154" s="22" t="s">
        <v>38</v>
      </c>
      <c r="B154" s="137">
        <f>'DOE25'!F491</f>
        <v>670000</v>
      </c>
      <c r="C154" s="137">
        <f>'DOE25'!G491</f>
        <v>535000</v>
      </c>
      <c r="D154" s="137">
        <f>'DOE25'!H491</f>
        <v>275000</v>
      </c>
      <c r="E154" s="137">
        <f>'DOE25'!I491</f>
        <v>255000</v>
      </c>
      <c r="F154" s="137">
        <f>'DOE25'!J491</f>
        <v>0</v>
      </c>
      <c r="G154" s="138">
        <f t="shared" si="0"/>
        <v>1735000</v>
      </c>
    </row>
    <row r="155" spans="1:7" x14ac:dyDescent="0.2">
      <c r="A155" s="22" t="s">
        <v>39</v>
      </c>
      <c r="B155" s="137">
        <f>'DOE25'!F492</f>
        <v>383706.25</v>
      </c>
      <c r="C155" s="137">
        <f>'DOE25'!G492</f>
        <v>119712.5</v>
      </c>
      <c r="D155" s="137">
        <f>'DOE25'!H492</f>
        <v>164175</v>
      </c>
      <c r="E155" s="137">
        <f>'DOE25'!I492</f>
        <v>192206.26</v>
      </c>
      <c r="F155" s="137">
        <f>'DOE25'!J492</f>
        <v>0</v>
      </c>
      <c r="G155" s="138">
        <f t="shared" si="0"/>
        <v>859800.01</v>
      </c>
    </row>
    <row r="156" spans="1:7" x14ac:dyDescent="0.2">
      <c r="A156" s="22" t="s">
        <v>269</v>
      </c>
      <c r="B156" s="137">
        <f>'DOE25'!F493</f>
        <v>1053706.25</v>
      </c>
      <c r="C156" s="137">
        <f>'DOE25'!G493</f>
        <v>654712.5</v>
      </c>
      <c r="D156" s="137">
        <f>'DOE25'!H493</f>
        <v>439175</v>
      </c>
      <c r="E156" s="137">
        <f>'DOE25'!I493</f>
        <v>447206.26</v>
      </c>
      <c r="F156" s="137">
        <f>'DOE25'!J493</f>
        <v>0</v>
      </c>
      <c r="G156" s="138">
        <f t="shared" si="0"/>
        <v>2594800.0099999998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FFD3-DA98-48EB-B03E-01038270FC4B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LONDONDERRY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12340</v>
      </c>
    </row>
    <row r="5" spans="1:4" x14ac:dyDescent="0.2">
      <c r="B5" t="s">
        <v>735</v>
      </c>
      <c r="C5" s="179">
        <f>IF('DOE25'!G655+'DOE25'!G660=0,0,ROUND('DOE25'!G662,0))</f>
        <v>10231</v>
      </c>
    </row>
    <row r="6" spans="1:4" x14ac:dyDescent="0.2">
      <c r="B6" t="s">
        <v>62</v>
      </c>
      <c r="C6" s="179">
        <f>IF('DOE25'!H655+'DOE25'!H660=0,0,ROUND('DOE25'!H662,0))</f>
        <v>11582</v>
      </c>
    </row>
    <row r="7" spans="1:4" x14ac:dyDescent="0.2">
      <c r="B7" t="s">
        <v>736</v>
      </c>
      <c r="C7" s="179">
        <f>IF('DOE25'!I655+'DOE25'!I660=0,0,ROUND('DOE25'!I662,0))</f>
        <v>11543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25856437</v>
      </c>
      <c r="D10" s="182">
        <f>ROUND((C10/$C$28)*100,1)</f>
        <v>41.2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12343053</v>
      </c>
      <c r="D11" s="182">
        <f>ROUND((C11/$C$28)*100,1)</f>
        <v>19.7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185392</v>
      </c>
      <c r="D12" s="182">
        <f>ROUND((C12/$C$28)*100,1)</f>
        <v>0.3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1265844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5698946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2104506</v>
      </c>
      <c r="D16" s="182">
        <f t="shared" si="0"/>
        <v>3.4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1657220</v>
      </c>
      <c r="D17" s="182">
        <f t="shared" si="0"/>
        <v>2.6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2805311</v>
      </c>
      <c r="D18" s="182">
        <f t="shared" si="0"/>
        <v>4.5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720464</v>
      </c>
      <c r="D19" s="182">
        <f t="shared" si="0"/>
        <v>1.1000000000000001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5681187</v>
      </c>
      <c r="D20" s="182">
        <f t="shared" si="0"/>
        <v>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2810010</v>
      </c>
      <c r="D21" s="182">
        <f t="shared" si="0"/>
        <v>4.5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5963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44484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1301335</v>
      </c>
      <c r="D25" s="182">
        <f t="shared" si="0"/>
        <v>2.1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297264.91999999993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62777416.920000002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314129</v>
      </c>
    </row>
    <row r="30" spans="1:4" x14ac:dyDescent="0.2">
      <c r="B30" s="187" t="s">
        <v>760</v>
      </c>
      <c r="C30" s="180">
        <f>SUM(C28:C29)</f>
        <v>63091545.920000002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1740000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39024073</v>
      </c>
      <c r="D35" s="182">
        <f t="shared" ref="D35:D40" si="1">ROUND((C35/$C$41)*100,1)</f>
        <v>60.2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531363.43999999762</v>
      </c>
      <c r="D36" s="182">
        <f t="shared" si="1"/>
        <v>0.8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17221863</v>
      </c>
      <c r="D37" s="182">
        <f t="shared" si="1"/>
        <v>26.6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5241170</v>
      </c>
      <c r="D38" s="182">
        <f t="shared" si="1"/>
        <v>8.1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2508385</v>
      </c>
      <c r="D39" s="182">
        <f t="shared" si="1"/>
        <v>3.9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308944</v>
      </c>
      <c r="D40" s="182">
        <f t="shared" si="1"/>
        <v>0.5</v>
      </c>
    </row>
    <row r="41" spans="1:4" x14ac:dyDescent="0.2">
      <c r="B41" s="187" t="s">
        <v>768</v>
      </c>
      <c r="C41" s="180">
        <f>SUM(C35:C40)</f>
        <v>64835798.439999998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068-5352-4A0D-82E1-008610492017}">
  <sheetPr>
    <tabColor indexed="17"/>
  </sheetPr>
  <dimension ref="A1:IV90"/>
  <sheetViews>
    <sheetView workbookViewId="0">
      <pane ySplit="3" topLeftCell="A4" activePane="bottomLeft" state="frozen"/>
      <selection pane="bottomLeft" activeCell="C10" sqref="C10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LONDONDERRY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3</v>
      </c>
      <c r="B4" s="220">
        <v>24</v>
      </c>
      <c r="C4" s="280" t="s">
        <v>902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10</v>
      </c>
      <c r="B6" s="220">
        <v>10</v>
      </c>
      <c r="C6" s="280" t="s">
        <v>903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 t="s">
        <v>905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 t="s">
        <v>904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2010-09-22T12:31:12Z</cp:lastPrinted>
  <dcterms:created xsi:type="dcterms:W3CDTF">1997-12-04T19:04:30Z</dcterms:created>
  <dcterms:modified xsi:type="dcterms:W3CDTF">2025-01-02T14:50:21Z</dcterms:modified>
</cp:coreProperties>
</file>