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34D5259E-4971-4EC7-8E8D-017B3B505584}" xr6:coauthVersionLast="47" xr6:coauthVersionMax="47" xr10:uidLastSave="{00000000-0000-0000-0000-000000000000}"/>
  <workbookProtection workbookPassword="B70A" lockStructure="1"/>
  <bookViews>
    <workbookView xWindow="3675" yWindow="3675" windowWidth="21600" windowHeight="11505" xr2:uid="{83081149-7D59-408C-A8C7-A680A6CA7DCD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9" i="1" l="1"/>
  <c r="F42" i="1"/>
  <c r="F41" i="1"/>
  <c r="F268" i="1"/>
  <c r="L268" i="1" s="1"/>
  <c r="K336" i="1"/>
  <c r="H102" i="1"/>
  <c r="H57" i="1"/>
  <c r="F102" i="1"/>
  <c r="G434" i="1"/>
  <c r="F10" i="1"/>
  <c r="C10" i="2" s="1"/>
  <c r="F9" i="1"/>
  <c r="J458" i="1"/>
  <c r="J460" i="1" s="1"/>
  <c r="J466" i="1" s="1"/>
  <c r="H616" i="1" s="1"/>
  <c r="H392" i="1"/>
  <c r="F31" i="1"/>
  <c r="G237" i="1"/>
  <c r="L237" i="1" s="1"/>
  <c r="I237" i="1"/>
  <c r="H237" i="1"/>
  <c r="I219" i="1"/>
  <c r="L219" i="1" s="1"/>
  <c r="H219" i="1"/>
  <c r="I201" i="1"/>
  <c r="H201" i="1"/>
  <c r="F60" i="1"/>
  <c r="F71" i="1" s="1"/>
  <c r="C49" i="2" s="1"/>
  <c r="C54" i="2" s="1"/>
  <c r="F25" i="1"/>
  <c r="C24" i="2" s="1"/>
  <c r="F14" i="1"/>
  <c r="C14" i="2" s="1"/>
  <c r="F511" i="1"/>
  <c r="G513" i="1"/>
  <c r="F513" i="1"/>
  <c r="G512" i="1"/>
  <c r="F512" i="1"/>
  <c r="G511" i="1"/>
  <c r="F516" i="1"/>
  <c r="B19" i="12"/>
  <c r="B22" i="12" s="1"/>
  <c r="B28" i="12"/>
  <c r="B31" i="12" s="1"/>
  <c r="B20" i="12"/>
  <c r="B13" i="12"/>
  <c r="B37" i="12"/>
  <c r="B39" i="12"/>
  <c r="B21" i="12"/>
  <c r="F30" i="1"/>
  <c r="H352" i="1"/>
  <c r="L352" i="1" s="1"/>
  <c r="I352" i="1"/>
  <c r="H360" i="1"/>
  <c r="G360" i="1"/>
  <c r="F360" i="1"/>
  <c r="I360" i="1" s="1"/>
  <c r="H359" i="1"/>
  <c r="G359" i="1"/>
  <c r="I359" i="1" s="1"/>
  <c r="I361" i="1" s="1"/>
  <c r="H624" i="1" s="1"/>
  <c r="F359" i="1"/>
  <c r="H594" i="1"/>
  <c r="H603" i="1"/>
  <c r="H601" i="1"/>
  <c r="G601" i="1"/>
  <c r="F601" i="1"/>
  <c r="L601" i="1" s="1"/>
  <c r="I603" i="1"/>
  <c r="G603" i="1"/>
  <c r="F603" i="1"/>
  <c r="H602" i="1"/>
  <c r="H604" i="1" s="1"/>
  <c r="G602" i="1"/>
  <c r="F602" i="1"/>
  <c r="L602" i="1" s="1"/>
  <c r="G653" i="1" s="1"/>
  <c r="F569" i="1"/>
  <c r="J581" i="1"/>
  <c r="H581" i="1"/>
  <c r="J350" i="1"/>
  <c r="F350" i="1"/>
  <c r="J352" i="1"/>
  <c r="G352" i="1"/>
  <c r="F352" i="1"/>
  <c r="I351" i="1"/>
  <c r="H351" i="1"/>
  <c r="H354" i="1" s="1"/>
  <c r="G351" i="1"/>
  <c r="F351" i="1"/>
  <c r="L351" i="1" s="1"/>
  <c r="I350" i="1"/>
  <c r="H350" i="1"/>
  <c r="G350" i="1"/>
  <c r="G89" i="1"/>
  <c r="G103" i="1" s="1"/>
  <c r="G124" i="1"/>
  <c r="G31" i="1"/>
  <c r="D30" i="2" s="1"/>
  <c r="D32" i="2" s="1"/>
  <c r="G9" i="1"/>
  <c r="G518" i="1"/>
  <c r="F518" i="1"/>
  <c r="H516" i="1"/>
  <c r="L516" i="1" s="1"/>
  <c r="G517" i="1"/>
  <c r="F517" i="1"/>
  <c r="L517" i="1" s="1"/>
  <c r="G540" i="1" s="1"/>
  <c r="I512" i="1"/>
  <c r="H511" i="1"/>
  <c r="G516" i="1"/>
  <c r="H512" i="1"/>
  <c r="H513" i="1"/>
  <c r="H522" i="1"/>
  <c r="H521" i="1"/>
  <c r="H518" i="1"/>
  <c r="H517" i="1"/>
  <c r="I516" i="1"/>
  <c r="I519" i="1" s="1"/>
  <c r="I535" i="1" s="1"/>
  <c r="J511" i="1"/>
  <c r="I511" i="1"/>
  <c r="L511" i="1" s="1"/>
  <c r="K513" i="1"/>
  <c r="J513" i="1"/>
  <c r="I513" i="1"/>
  <c r="K512" i="1"/>
  <c r="J512" i="1"/>
  <c r="K511" i="1"/>
  <c r="H523" i="1"/>
  <c r="G523" i="1"/>
  <c r="G522" i="1"/>
  <c r="G521" i="1"/>
  <c r="G524" i="1" s="1"/>
  <c r="F523" i="1"/>
  <c r="L523" i="1" s="1"/>
  <c r="H541" i="1" s="1"/>
  <c r="F522" i="1"/>
  <c r="F521" i="1"/>
  <c r="H528" i="1"/>
  <c r="H526" i="1"/>
  <c r="H9" i="1"/>
  <c r="E9" i="2" s="1"/>
  <c r="E19" i="2" s="1"/>
  <c r="H153" i="1"/>
  <c r="H154" i="1" s="1"/>
  <c r="H127" i="1"/>
  <c r="G325" i="1"/>
  <c r="F325" i="1"/>
  <c r="J325" i="1"/>
  <c r="I325" i="1"/>
  <c r="I329" i="1" s="1"/>
  <c r="H325" i="1"/>
  <c r="L325" i="1" s="1"/>
  <c r="J309" i="1"/>
  <c r="K318" i="1"/>
  <c r="J318" i="1"/>
  <c r="I318" i="1"/>
  <c r="H318" i="1"/>
  <c r="G318" i="1"/>
  <c r="F318" i="1"/>
  <c r="L318" i="1" s="1"/>
  <c r="J317" i="1"/>
  <c r="I317" i="1"/>
  <c r="H317" i="1"/>
  <c r="J314" i="1"/>
  <c r="K313" i="1"/>
  <c r="J313" i="1"/>
  <c r="I313" i="1"/>
  <c r="H313" i="1"/>
  <c r="G313" i="1"/>
  <c r="F313" i="1"/>
  <c r="L313" i="1" s="1"/>
  <c r="K312" i="1"/>
  <c r="J312" i="1"/>
  <c r="I312" i="1"/>
  <c r="H312" i="1"/>
  <c r="G312" i="1"/>
  <c r="F312" i="1"/>
  <c r="L312" i="1" s="1"/>
  <c r="F311" i="1"/>
  <c r="L311" i="1" s="1"/>
  <c r="I311" i="1"/>
  <c r="H311" i="1"/>
  <c r="G311" i="1"/>
  <c r="K324" i="1"/>
  <c r="J324" i="1"/>
  <c r="I324" i="1"/>
  <c r="H324" i="1"/>
  <c r="L324" i="1" s="1"/>
  <c r="I309" i="1"/>
  <c r="H309" i="1"/>
  <c r="G309" i="1"/>
  <c r="F309" i="1"/>
  <c r="L309" i="1" s="1"/>
  <c r="I308" i="1"/>
  <c r="L308" i="1" s="1"/>
  <c r="K308" i="1"/>
  <c r="K320" i="1" s="1"/>
  <c r="J308" i="1"/>
  <c r="H308" i="1"/>
  <c r="G308" i="1"/>
  <c r="C27" i="12" s="1"/>
  <c r="F308" i="1"/>
  <c r="K307" i="1"/>
  <c r="J307" i="1"/>
  <c r="I307" i="1"/>
  <c r="H307" i="1"/>
  <c r="G307" i="1"/>
  <c r="F307" i="1"/>
  <c r="F320" i="1" s="1"/>
  <c r="K306" i="1"/>
  <c r="J306" i="1"/>
  <c r="L306" i="1" s="1"/>
  <c r="I306" i="1"/>
  <c r="H306" i="1"/>
  <c r="G306" i="1"/>
  <c r="F306" i="1"/>
  <c r="I294" i="1"/>
  <c r="J290" i="1"/>
  <c r="H299" i="1"/>
  <c r="I299" i="1"/>
  <c r="G299" i="1"/>
  <c r="F299" i="1"/>
  <c r="L299" i="1" s="1"/>
  <c r="E117" i="2" s="1"/>
  <c r="K294" i="1"/>
  <c r="H294" i="1"/>
  <c r="L294" i="1" s="1"/>
  <c r="G294" i="1"/>
  <c r="F294" i="1"/>
  <c r="J293" i="1"/>
  <c r="I293" i="1"/>
  <c r="H293" i="1"/>
  <c r="G293" i="1"/>
  <c r="L293" i="1" s="1"/>
  <c r="F293" i="1"/>
  <c r="G292" i="1"/>
  <c r="F292" i="1"/>
  <c r="I290" i="1"/>
  <c r="I301" i="1" s="1"/>
  <c r="H290" i="1"/>
  <c r="G290" i="1"/>
  <c r="L290" i="1" s="1"/>
  <c r="E104" i="2" s="1"/>
  <c r="F290" i="1"/>
  <c r="I288" i="1"/>
  <c r="H288" i="1"/>
  <c r="G288" i="1"/>
  <c r="F288" i="1"/>
  <c r="J288" i="1"/>
  <c r="K287" i="1"/>
  <c r="J287" i="1"/>
  <c r="I287" i="1"/>
  <c r="H287" i="1"/>
  <c r="H301" i="1" s="1"/>
  <c r="G287" i="1"/>
  <c r="F287" i="1"/>
  <c r="L287" i="1" s="1"/>
  <c r="L301" i="1" s="1"/>
  <c r="H280" i="1"/>
  <c r="I280" i="1"/>
  <c r="J275" i="1"/>
  <c r="I275" i="1"/>
  <c r="K275" i="1"/>
  <c r="H275" i="1"/>
  <c r="L275" i="1" s="1"/>
  <c r="G275" i="1"/>
  <c r="F275" i="1"/>
  <c r="K274" i="1"/>
  <c r="J274" i="1"/>
  <c r="I274" i="1"/>
  <c r="H274" i="1"/>
  <c r="L274" i="1" s="1"/>
  <c r="E111" i="2" s="1"/>
  <c r="G274" i="1"/>
  <c r="F274" i="1"/>
  <c r="J271" i="1"/>
  <c r="I271" i="1"/>
  <c r="H271" i="1"/>
  <c r="G271" i="1"/>
  <c r="F271" i="1"/>
  <c r="G273" i="1"/>
  <c r="F273" i="1"/>
  <c r="K269" i="1"/>
  <c r="J269" i="1"/>
  <c r="J282" i="1" s="1"/>
  <c r="I269" i="1"/>
  <c r="I282" i="1" s="1"/>
  <c r="I330" i="1" s="1"/>
  <c r="I344" i="1" s="1"/>
  <c r="H269" i="1"/>
  <c r="G269" i="1"/>
  <c r="F269" i="1"/>
  <c r="L269" i="1" s="1"/>
  <c r="K268" i="1"/>
  <c r="K282" i="1" s="1"/>
  <c r="J268" i="1"/>
  <c r="I268" i="1"/>
  <c r="H268" i="1"/>
  <c r="I554" i="1"/>
  <c r="G554" i="1"/>
  <c r="F554" i="1"/>
  <c r="L554" i="1" s="1"/>
  <c r="H553" i="1"/>
  <c r="G553" i="1"/>
  <c r="L553" i="1" s="1"/>
  <c r="F553" i="1"/>
  <c r="I552" i="1"/>
  <c r="H552" i="1"/>
  <c r="G552" i="1"/>
  <c r="F552" i="1"/>
  <c r="K553" i="1"/>
  <c r="K554" i="1"/>
  <c r="J554" i="1"/>
  <c r="H554" i="1"/>
  <c r="J553" i="1"/>
  <c r="J555" i="1" s="1"/>
  <c r="J561" i="1" s="1"/>
  <c r="I553" i="1"/>
  <c r="K552" i="1"/>
  <c r="K555" i="1" s="1"/>
  <c r="J552" i="1"/>
  <c r="G549" i="1"/>
  <c r="F549" i="1"/>
  <c r="G548" i="1"/>
  <c r="F548" i="1"/>
  <c r="K547" i="1"/>
  <c r="J547" i="1"/>
  <c r="I547" i="1"/>
  <c r="H547" i="1"/>
  <c r="G547" i="1"/>
  <c r="G550" i="1" s="1"/>
  <c r="G561" i="1" s="1"/>
  <c r="F547" i="1"/>
  <c r="L547" i="1" s="1"/>
  <c r="L550" i="1" s="1"/>
  <c r="K549" i="1"/>
  <c r="J549" i="1"/>
  <c r="I549" i="1"/>
  <c r="H549" i="1"/>
  <c r="K548" i="1"/>
  <c r="H548" i="1"/>
  <c r="F189" i="1"/>
  <c r="B9" i="12" s="1"/>
  <c r="H225" i="1"/>
  <c r="H207" i="1"/>
  <c r="H189" i="1"/>
  <c r="H228" i="1"/>
  <c r="H239" i="1" s="1"/>
  <c r="H210" i="1"/>
  <c r="H221" i="1" s="1"/>
  <c r="J237" i="1"/>
  <c r="J239" i="1" s="1"/>
  <c r="F237" i="1"/>
  <c r="H236" i="1"/>
  <c r="H218" i="1"/>
  <c r="L218" i="1" s="1"/>
  <c r="H200" i="1"/>
  <c r="I581" i="1"/>
  <c r="I585" i="1"/>
  <c r="J585" i="1"/>
  <c r="H247" i="1"/>
  <c r="J219" i="1"/>
  <c r="J201" i="1"/>
  <c r="F16" i="13" s="1"/>
  <c r="K235" i="1"/>
  <c r="I235" i="1"/>
  <c r="L235" i="1" s="1"/>
  <c r="H235" i="1"/>
  <c r="K217" i="1"/>
  <c r="I217" i="1"/>
  <c r="H217" i="1"/>
  <c r="L217" i="1" s="1"/>
  <c r="K199" i="1"/>
  <c r="I199" i="1"/>
  <c r="H199" i="1"/>
  <c r="G199" i="1"/>
  <c r="F199" i="1"/>
  <c r="K233" i="1"/>
  <c r="G12" i="13" s="1"/>
  <c r="H233" i="1"/>
  <c r="G233" i="1"/>
  <c r="L233" i="1" s="1"/>
  <c r="F233" i="1"/>
  <c r="K215" i="1"/>
  <c r="H215" i="1"/>
  <c r="G215" i="1"/>
  <c r="F215" i="1"/>
  <c r="L215" i="1" s="1"/>
  <c r="I197" i="1"/>
  <c r="H197" i="1"/>
  <c r="G197" i="1"/>
  <c r="F197" i="1"/>
  <c r="H232" i="1"/>
  <c r="L232" i="1" s="1"/>
  <c r="H214" i="1"/>
  <c r="L214" i="1" s="1"/>
  <c r="I231" i="1"/>
  <c r="I239" i="1" s="1"/>
  <c r="H231" i="1"/>
  <c r="G231" i="1"/>
  <c r="F231" i="1"/>
  <c r="L231" i="1" s="1"/>
  <c r="I213" i="1"/>
  <c r="G213" i="1"/>
  <c r="F213" i="1"/>
  <c r="L213" i="1" s="1"/>
  <c r="I195" i="1"/>
  <c r="G195" i="1"/>
  <c r="F195" i="1"/>
  <c r="H230" i="1"/>
  <c r="G230" i="1"/>
  <c r="F230" i="1"/>
  <c r="L230" i="1" s="1"/>
  <c r="H212" i="1"/>
  <c r="G212" i="1"/>
  <c r="F212" i="1"/>
  <c r="L212" i="1" s="1"/>
  <c r="H194" i="1"/>
  <c r="G194" i="1"/>
  <c r="F194" i="1"/>
  <c r="F243" i="1"/>
  <c r="K228" i="1"/>
  <c r="I228" i="1"/>
  <c r="G228" i="1"/>
  <c r="G239" i="1" s="1"/>
  <c r="G249" i="1" s="1"/>
  <c r="G263" i="1" s="1"/>
  <c r="F228" i="1"/>
  <c r="L228" i="1" s="1"/>
  <c r="K210" i="1"/>
  <c r="G5" i="13" s="1"/>
  <c r="I210" i="1"/>
  <c r="G210" i="1"/>
  <c r="C36" i="12" s="1"/>
  <c r="F210" i="1"/>
  <c r="B36" i="12" s="1"/>
  <c r="J226" i="1"/>
  <c r="I226" i="1"/>
  <c r="I225" i="1"/>
  <c r="H226" i="1"/>
  <c r="G226" i="1"/>
  <c r="G225" i="1"/>
  <c r="F225" i="1"/>
  <c r="F239" i="1" s="1"/>
  <c r="F226" i="1"/>
  <c r="B18" i="12" s="1"/>
  <c r="I207" i="1"/>
  <c r="I208" i="1"/>
  <c r="H208" i="1"/>
  <c r="G207" i="1"/>
  <c r="G208" i="1"/>
  <c r="F207" i="1"/>
  <c r="L207" i="1" s="1"/>
  <c r="F208" i="1"/>
  <c r="L208" i="1" s="1"/>
  <c r="K190" i="1"/>
  <c r="K189" i="1"/>
  <c r="J190" i="1"/>
  <c r="J189" i="1"/>
  <c r="F5" i="13" s="1"/>
  <c r="I190" i="1"/>
  <c r="L190" i="1" s="1"/>
  <c r="I189" i="1"/>
  <c r="L189" i="1" s="1"/>
  <c r="H190" i="1"/>
  <c r="G190" i="1"/>
  <c r="C18" i="12" s="1"/>
  <c r="G189" i="1"/>
  <c r="C9" i="12" s="1"/>
  <c r="F190" i="1"/>
  <c r="I227" i="1"/>
  <c r="L227" i="1" s="1"/>
  <c r="K226" i="1"/>
  <c r="K225" i="1"/>
  <c r="K207" i="1"/>
  <c r="J207" i="1"/>
  <c r="F29" i="1"/>
  <c r="C28" i="2" s="1"/>
  <c r="J582" i="1"/>
  <c r="J588" i="1" s="1"/>
  <c r="H641" i="1" s="1"/>
  <c r="I582" i="1"/>
  <c r="I588" i="1" s="1"/>
  <c r="H640" i="1" s="1"/>
  <c r="H582" i="1"/>
  <c r="C60" i="2"/>
  <c r="B2" i="13"/>
  <c r="F8" i="13"/>
  <c r="G8" i="13"/>
  <c r="L196" i="1"/>
  <c r="D39" i="13"/>
  <c r="F13" i="13"/>
  <c r="G13" i="13"/>
  <c r="L198" i="1"/>
  <c r="L216" i="1"/>
  <c r="L234" i="1"/>
  <c r="E13" i="13" s="1"/>
  <c r="C13" i="13" s="1"/>
  <c r="G16" i="13"/>
  <c r="L191" i="1"/>
  <c r="L192" i="1"/>
  <c r="C104" i="2" s="1"/>
  <c r="L209" i="1"/>
  <c r="L210" i="1"/>
  <c r="L226" i="1"/>
  <c r="F6" i="13"/>
  <c r="G6" i="13"/>
  <c r="L194" i="1"/>
  <c r="F7" i="13"/>
  <c r="G7" i="13"/>
  <c r="L195" i="1"/>
  <c r="C16" i="10" s="1"/>
  <c r="F12" i="13"/>
  <c r="L197" i="1"/>
  <c r="F14" i="13"/>
  <c r="G14" i="13"/>
  <c r="L199" i="1"/>
  <c r="F15" i="13"/>
  <c r="G15" i="13"/>
  <c r="L200" i="1"/>
  <c r="F652" i="1" s="1"/>
  <c r="L236" i="1"/>
  <c r="F17" i="13"/>
  <c r="G17" i="13"/>
  <c r="L243" i="1"/>
  <c r="D17" i="13" s="1"/>
  <c r="C17" i="13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J301" i="1"/>
  <c r="K301" i="1"/>
  <c r="L270" i="1"/>
  <c r="E103" i="2" s="1"/>
  <c r="L271" i="1"/>
  <c r="L273" i="1"/>
  <c r="E110" i="2" s="1"/>
  <c r="L276" i="1"/>
  <c r="L277" i="1"/>
  <c r="L278" i="1"/>
  <c r="E115" i="2" s="1"/>
  <c r="L279" i="1"/>
  <c r="E116" i="2" s="1"/>
  <c r="L280" i="1"/>
  <c r="L288" i="1"/>
  <c r="L289" i="1"/>
  <c r="L292" i="1"/>
  <c r="L295" i="1"/>
  <c r="L296" i="1"/>
  <c r="C19" i="10" s="1"/>
  <c r="L297" i="1"/>
  <c r="L298" i="1"/>
  <c r="L314" i="1"/>
  <c r="E113" i="2" s="1"/>
  <c r="L315" i="1"/>
  <c r="L316" i="1"/>
  <c r="L317" i="1"/>
  <c r="L326" i="1"/>
  <c r="L327" i="1"/>
  <c r="L252" i="1"/>
  <c r="H25" i="13" s="1"/>
  <c r="L253" i="1"/>
  <c r="C25" i="10" s="1"/>
  <c r="L333" i="1"/>
  <c r="L334" i="1"/>
  <c r="L247" i="1"/>
  <c r="F22" i="13" s="1"/>
  <c r="C22" i="13" s="1"/>
  <c r="L328" i="1"/>
  <c r="C11" i="13"/>
  <c r="C10" i="13"/>
  <c r="C9" i="13"/>
  <c r="L353" i="1"/>
  <c r="B4" i="12"/>
  <c r="B27" i="12"/>
  <c r="C13" i="12"/>
  <c r="B1" i="12"/>
  <c r="L379" i="1"/>
  <c r="L380" i="1"/>
  <c r="L385" i="1" s="1"/>
  <c r="L381" i="1"/>
  <c r="L382" i="1"/>
  <c r="L383" i="1"/>
  <c r="L384" i="1"/>
  <c r="L387" i="1"/>
  <c r="L388" i="1"/>
  <c r="L389" i="1"/>
  <c r="L390" i="1"/>
  <c r="L391" i="1"/>
  <c r="L392" i="1"/>
  <c r="L393" i="1" s="1"/>
  <c r="C131" i="2" s="1"/>
  <c r="L395" i="1"/>
  <c r="L396" i="1"/>
  <c r="L397" i="1"/>
  <c r="L399" i="1" s="1"/>
  <c r="C132" i="2" s="1"/>
  <c r="L398" i="1"/>
  <c r="L258" i="1"/>
  <c r="J52" i="1"/>
  <c r="G48" i="2"/>
  <c r="G55" i="2" s="1"/>
  <c r="G51" i="2"/>
  <c r="G54" i="2" s="1"/>
  <c r="G53" i="2"/>
  <c r="F2" i="11"/>
  <c r="L603" i="1"/>
  <c r="H653" i="1" s="1"/>
  <c r="C40" i="10"/>
  <c r="F52" i="1"/>
  <c r="C35" i="10" s="1"/>
  <c r="G52" i="1"/>
  <c r="D48" i="2" s="1"/>
  <c r="D55" i="2" s="1"/>
  <c r="H52" i="1"/>
  <c r="I52" i="1"/>
  <c r="F86" i="1"/>
  <c r="F103" i="1"/>
  <c r="H71" i="1"/>
  <c r="H104" i="1" s="1"/>
  <c r="H86" i="1"/>
  <c r="E50" i="2" s="1"/>
  <c r="H103" i="1"/>
  <c r="I103" i="1"/>
  <c r="I104" i="1"/>
  <c r="J103" i="1"/>
  <c r="J104" i="1" s="1"/>
  <c r="C37" i="10"/>
  <c r="F113" i="1"/>
  <c r="F128" i="1"/>
  <c r="F132" i="1"/>
  <c r="C38" i="10" s="1"/>
  <c r="G113" i="1"/>
  <c r="G132" i="1" s="1"/>
  <c r="G128" i="1"/>
  <c r="H113" i="1"/>
  <c r="H128" i="1"/>
  <c r="H132" i="1"/>
  <c r="I113" i="1"/>
  <c r="I132" i="1" s="1"/>
  <c r="I128" i="1"/>
  <c r="J113" i="1"/>
  <c r="J128" i="1"/>
  <c r="J132" i="1"/>
  <c r="F139" i="1"/>
  <c r="F161" i="1" s="1"/>
  <c r="F154" i="1"/>
  <c r="G139" i="1"/>
  <c r="D77" i="2" s="1"/>
  <c r="D83" i="2" s="1"/>
  <c r="G154" i="1"/>
  <c r="H139" i="1"/>
  <c r="E77" i="2" s="1"/>
  <c r="E83" i="2" s="1"/>
  <c r="I139" i="1"/>
  <c r="I154" i="1"/>
  <c r="I161" i="1" s="1"/>
  <c r="L242" i="1"/>
  <c r="L246" i="1"/>
  <c r="L260" i="1"/>
  <c r="L261" i="1"/>
  <c r="C26" i="10" s="1"/>
  <c r="L341" i="1"/>
  <c r="E134" i="2" s="1"/>
  <c r="L342" i="1"/>
  <c r="I655" i="1"/>
  <c r="I660" i="1"/>
  <c r="H652" i="1"/>
  <c r="I659" i="1"/>
  <c r="C42" i="10"/>
  <c r="C32" i="10"/>
  <c r="L366" i="1"/>
  <c r="F122" i="2" s="1"/>
  <c r="F136" i="2" s="1"/>
  <c r="L367" i="1"/>
  <c r="L368" i="1"/>
  <c r="L369" i="1"/>
  <c r="L370" i="1"/>
  <c r="L371" i="1"/>
  <c r="L372" i="1"/>
  <c r="B2" i="10"/>
  <c r="L336" i="1"/>
  <c r="L343" i="1" s="1"/>
  <c r="L337" i="1"/>
  <c r="E127" i="2" s="1"/>
  <c r="L338" i="1"/>
  <c r="L339" i="1"/>
  <c r="K343" i="1"/>
  <c r="L512" i="1"/>
  <c r="F540" i="1" s="1"/>
  <c r="L513" i="1"/>
  <c r="F541" i="1" s="1"/>
  <c r="K541" i="1" s="1"/>
  <c r="L518" i="1"/>
  <c r="G541" i="1" s="1"/>
  <c r="L522" i="1"/>
  <c r="H540" i="1" s="1"/>
  <c r="L526" i="1"/>
  <c r="I539" i="1" s="1"/>
  <c r="L527" i="1"/>
  <c r="I540" i="1" s="1"/>
  <c r="L528" i="1"/>
  <c r="I541" i="1"/>
  <c r="L531" i="1"/>
  <c r="J539" i="1" s="1"/>
  <c r="L532" i="1"/>
  <c r="J540" i="1"/>
  <c r="L533" i="1"/>
  <c r="J541" i="1" s="1"/>
  <c r="E124" i="2"/>
  <c r="E123" i="2"/>
  <c r="K262" i="1"/>
  <c r="J262" i="1"/>
  <c r="I262" i="1"/>
  <c r="H262" i="1"/>
  <c r="G262" i="1"/>
  <c r="F262" i="1"/>
  <c r="L262" i="1" s="1"/>
  <c r="A1" i="2"/>
  <c r="A2" i="2"/>
  <c r="C9" i="2"/>
  <c r="D9" i="2"/>
  <c r="D19" i="2" s="1"/>
  <c r="F9" i="2"/>
  <c r="I431" i="1"/>
  <c r="I438" i="1" s="1"/>
  <c r="G632" i="1" s="1"/>
  <c r="J632" i="1" s="1"/>
  <c r="J9" i="1"/>
  <c r="G9" i="2" s="1"/>
  <c r="D10" i="2"/>
  <c r="E10" i="2"/>
  <c r="F10" i="2"/>
  <c r="I432" i="1"/>
  <c r="J10" i="1" s="1"/>
  <c r="C11" i="2"/>
  <c r="C12" i="2"/>
  <c r="D12" i="2"/>
  <c r="E12" i="2"/>
  <c r="F12" i="2"/>
  <c r="F19" i="2" s="1"/>
  <c r="I433" i="1"/>
  <c r="J12" i="1" s="1"/>
  <c r="G12" i="2" s="1"/>
  <c r="C13" i="2"/>
  <c r="D13" i="2"/>
  <c r="E13" i="2"/>
  <c r="F13" i="2"/>
  <c r="I434" i="1"/>
  <c r="J13" i="1" s="1"/>
  <c r="G13" i="2" s="1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 s="1"/>
  <c r="C22" i="2"/>
  <c r="D22" i="2"/>
  <c r="E22" i="2"/>
  <c r="F22" i="2"/>
  <c r="I440" i="1"/>
  <c r="I444" i="1" s="1"/>
  <c r="I451" i="1" s="1"/>
  <c r="H632" i="1" s="1"/>
  <c r="J23" i="1"/>
  <c r="G22" i="2" s="1"/>
  <c r="C23" i="2"/>
  <c r="D23" i="2"/>
  <c r="E23" i="2"/>
  <c r="E32" i="2" s="1"/>
  <c r="F23" i="2"/>
  <c r="I441" i="1"/>
  <c r="J24" i="1" s="1"/>
  <c r="D24" i="2"/>
  <c r="E24" i="2"/>
  <c r="F24" i="2"/>
  <c r="F32" i="2" s="1"/>
  <c r="I442" i="1"/>
  <c r="J25" i="1" s="1"/>
  <c r="G24" i="2" s="1"/>
  <c r="C25" i="2"/>
  <c r="D25" i="2"/>
  <c r="E25" i="2"/>
  <c r="F25" i="2"/>
  <c r="C26" i="2"/>
  <c r="F26" i="2"/>
  <c r="C27" i="2"/>
  <c r="F27" i="2"/>
  <c r="D28" i="2"/>
  <c r="E28" i="2"/>
  <c r="F28" i="2"/>
  <c r="C29" i="2"/>
  <c r="D29" i="2"/>
  <c r="E29" i="2"/>
  <c r="F29" i="2"/>
  <c r="C30" i="2"/>
  <c r="E30" i="2"/>
  <c r="F30" i="2"/>
  <c r="C31" i="2"/>
  <c r="D31" i="2"/>
  <c r="E31" i="2"/>
  <c r="F31" i="2"/>
  <c r="I443" i="1"/>
  <c r="J32" i="1" s="1"/>
  <c r="G31" i="2" s="1"/>
  <c r="C34" i="2"/>
  <c r="C42" i="2" s="1"/>
  <c r="D34" i="2"/>
  <c r="D42" i="2" s="1"/>
  <c r="D43" i="2" s="1"/>
  <c r="E34" i="2"/>
  <c r="F34" i="2"/>
  <c r="C35" i="2"/>
  <c r="D35" i="2"/>
  <c r="E35" i="2"/>
  <c r="F35" i="2"/>
  <c r="C36" i="2"/>
  <c r="D36" i="2"/>
  <c r="E36" i="2"/>
  <c r="F36" i="2"/>
  <c r="I446" i="1"/>
  <c r="J37" i="1" s="1"/>
  <c r="C37" i="2"/>
  <c r="D37" i="2"/>
  <c r="E37" i="2"/>
  <c r="F37" i="2"/>
  <c r="F42" i="2" s="1"/>
  <c r="I447" i="1"/>
  <c r="I450" i="1" s="1"/>
  <c r="J38" i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/>
  <c r="C41" i="2"/>
  <c r="D41" i="2"/>
  <c r="E41" i="2"/>
  <c r="F41" i="2"/>
  <c r="E42" i="2"/>
  <c r="E43" i="2" s="1"/>
  <c r="E48" i="2"/>
  <c r="F48" i="2"/>
  <c r="C50" i="2"/>
  <c r="C51" i="2"/>
  <c r="D51" i="2"/>
  <c r="E51" i="2"/>
  <c r="F51" i="2"/>
  <c r="F54" i="2" s="1"/>
  <c r="F55" i="2" s="1"/>
  <c r="D52" i="2"/>
  <c r="C53" i="2"/>
  <c r="D53" i="2"/>
  <c r="E53" i="2"/>
  <c r="F53" i="2"/>
  <c r="D54" i="2"/>
  <c r="C58" i="2"/>
  <c r="C62" i="2" s="1"/>
  <c r="C59" i="2"/>
  <c r="C61" i="2"/>
  <c r="D61" i="2"/>
  <c r="D62" i="2" s="1"/>
  <c r="E61" i="2"/>
  <c r="E62" i="2" s="1"/>
  <c r="F61" i="2"/>
  <c r="F62" i="2" s="1"/>
  <c r="G61" i="2"/>
  <c r="G62" i="2"/>
  <c r="C64" i="2"/>
  <c r="C70" i="2" s="1"/>
  <c r="F64" i="2"/>
  <c r="C65" i="2"/>
  <c r="F65" i="2"/>
  <c r="F70" i="2" s="1"/>
  <c r="F73" i="2" s="1"/>
  <c r="C66" i="2"/>
  <c r="C67" i="2"/>
  <c r="C68" i="2"/>
  <c r="E68" i="2"/>
  <c r="F68" i="2"/>
  <c r="C69" i="2"/>
  <c r="D69" i="2"/>
  <c r="E69" i="2"/>
  <c r="F69" i="2"/>
  <c r="G69" i="2"/>
  <c r="G70" i="2" s="1"/>
  <c r="G73" i="2" s="1"/>
  <c r="D70" i="2"/>
  <c r="D73" i="2" s="1"/>
  <c r="E70" i="2"/>
  <c r="E73" i="2" s="1"/>
  <c r="C71" i="2"/>
  <c r="D71" i="2"/>
  <c r="E71" i="2"/>
  <c r="C72" i="2"/>
  <c r="E72" i="2"/>
  <c r="C77" i="2"/>
  <c r="C83" i="2" s="1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C86" i="2"/>
  <c r="C95" i="2" s="1"/>
  <c r="F86" i="2"/>
  <c r="F95" i="2" s="1"/>
  <c r="D88" i="2"/>
  <c r="D95" i="2" s="1"/>
  <c r="E88" i="2"/>
  <c r="F88" i="2"/>
  <c r="G88" i="2"/>
  <c r="G95" i="2" s="1"/>
  <c r="C89" i="2"/>
  <c r="D89" i="2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105" i="2"/>
  <c r="D107" i="2"/>
  <c r="F107" i="2"/>
  <c r="F137" i="2" s="1"/>
  <c r="G107" i="2"/>
  <c r="C114" i="2"/>
  <c r="F120" i="2"/>
  <c r="G120" i="2"/>
  <c r="C122" i="2"/>
  <c r="E122" i="2"/>
  <c r="D126" i="2"/>
  <c r="E126" i="2"/>
  <c r="F126" i="2"/>
  <c r="K411" i="1"/>
  <c r="K426" i="1" s="1"/>
  <c r="G126" i="2" s="1"/>
  <c r="G136" i="2" s="1"/>
  <c r="K419" i="1"/>
  <c r="K425" i="1"/>
  <c r="L255" i="1"/>
  <c r="C127" i="2" s="1"/>
  <c r="L256" i="1"/>
  <c r="C128" i="2" s="1"/>
  <c r="L257" i="1"/>
  <c r="C129" i="2" s="1"/>
  <c r="E129" i="2"/>
  <c r="C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K490" i="1" s="1"/>
  <c r="G490" i="1"/>
  <c r="C153" i="2" s="1"/>
  <c r="H490" i="1"/>
  <c r="D153" i="2"/>
  <c r="I490" i="1"/>
  <c r="E153" i="2" s="1"/>
  <c r="J490" i="1"/>
  <c r="F153" i="2" s="1"/>
  <c r="B154" i="2"/>
  <c r="C154" i="2"/>
  <c r="G154" i="2" s="1"/>
  <c r="D154" i="2"/>
  <c r="E154" i="2"/>
  <c r="F154" i="2"/>
  <c r="B155" i="2"/>
  <c r="G155" i="2" s="1"/>
  <c r="C155" i="2"/>
  <c r="D155" i="2"/>
  <c r="E155" i="2"/>
  <c r="F155" i="2"/>
  <c r="F493" i="1"/>
  <c r="B156" i="2"/>
  <c r="G156" i="2" s="1"/>
  <c r="G493" i="1"/>
  <c r="K493" i="1" s="1"/>
  <c r="C156" i="2"/>
  <c r="H493" i="1"/>
  <c r="D156" i="2" s="1"/>
  <c r="I493" i="1"/>
  <c r="E156" i="2"/>
  <c r="J493" i="1"/>
  <c r="F156" i="2" s="1"/>
  <c r="G19" i="1"/>
  <c r="H19" i="1"/>
  <c r="G609" i="1" s="1"/>
  <c r="J609" i="1" s="1"/>
  <c r="I19" i="1"/>
  <c r="G610" i="1" s="1"/>
  <c r="G33" i="1"/>
  <c r="H33" i="1"/>
  <c r="I33" i="1"/>
  <c r="I44" i="1" s="1"/>
  <c r="H610" i="1" s="1"/>
  <c r="F43" i="1"/>
  <c r="G612" i="1" s="1"/>
  <c r="J612" i="1" s="1"/>
  <c r="G43" i="1"/>
  <c r="H43" i="1"/>
  <c r="H44" i="1" s="1"/>
  <c r="H609" i="1" s="1"/>
  <c r="I43" i="1"/>
  <c r="G44" i="1"/>
  <c r="H608" i="1" s="1"/>
  <c r="J608" i="1" s="1"/>
  <c r="F169" i="1"/>
  <c r="F184" i="1" s="1"/>
  <c r="I169" i="1"/>
  <c r="I184" i="1" s="1"/>
  <c r="F175" i="1"/>
  <c r="G175" i="1"/>
  <c r="H175" i="1"/>
  <c r="I175" i="1"/>
  <c r="J175" i="1"/>
  <c r="J184" i="1" s="1"/>
  <c r="F180" i="1"/>
  <c r="G180" i="1"/>
  <c r="G184" i="1" s="1"/>
  <c r="H180" i="1"/>
  <c r="I180" i="1"/>
  <c r="H184" i="1"/>
  <c r="F203" i="1"/>
  <c r="G203" i="1"/>
  <c r="H203" i="1"/>
  <c r="K203" i="1"/>
  <c r="F221" i="1"/>
  <c r="F249" i="1" s="1"/>
  <c r="F263" i="1" s="1"/>
  <c r="G221" i="1"/>
  <c r="I221" i="1"/>
  <c r="J221" i="1"/>
  <c r="K221" i="1"/>
  <c r="F248" i="1"/>
  <c r="L248" i="1" s="1"/>
  <c r="G248" i="1"/>
  <c r="H248" i="1"/>
  <c r="I248" i="1"/>
  <c r="J248" i="1"/>
  <c r="K248" i="1"/>
  <c r="F282" i="1"/>
  <c r="G282" i="1"/>
  <c r="G330" i="1" s="1"/>
  <c r="G344" i="1" s="1"/>
  <c r="G301" i="1"/>
  <c r="G320" i="1"/>
  <c r="H320" i="1"/>
  <c r="I320" i="1"/>
  <c r="F329" i="1"/>
  <c r="G329" i="1"/>
  <c r="J329" i="1"/>
  <c r="K329" i="1"/>
  <c r="G354" i="1"/>
  <c r="I354" i="1"/>
  <c r="G624" i="1" s="1"/>
  <c r="J354" i="1"/>
  <c r="K354" i="1"/>
  <c r="G361" i="1"/>
  <c r="H361" i="1"/>
  <c r="L373" i="1"/>
  <c r="F374" i="1"/>
  <c r="G374" i="1"/>
  <c r="H374" i="1"/>
  <c r="I374" i="1"/>
  <c r="J374" i="1"/>
  <c r="K374" i="1"/>
  <c r="F385" i="1"/>
  <c r="G385" i="1"/>
  <c r="G400" i="1" s="1"/>
  <c r="H635" i="1" s="1"/>
  <c r="H385" i="1"/>
  <c r="I385" i="1"/>
  <c r="F393" i="1"/>
  <c r="F400" i="1" s="1"/>
  <c r="H633" i="1" s="1"/>
  <c r="G393" i="1"/>
  <c r="H393" i="1"/>
  <c r="I393" i="1"/>
  <c r="F399" i="1"/>
  <c r="G399" i="1"/>
  <c r="H399" i="1"/>
  <c r="I399" i="1"/>
  <c r="H400" i="1"/>
  <c r="H634" i="1" s="1"/>
  <c r="J634" i="1" s="1"/>
  <c r="I400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H411" i="1"/>
  <c r="H426" i="1" s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G425" i="1"/>
  <c r="G426" i="1" s="1"/>
  <c r="H425" i="1"/>
  <c r="I425" i="1"/>
  <c r="J425" i="1"/>
  <c r="L425" i="1"/>
  <c r="F426" i="1"/>
  <c r="F438" i="1"/>
  <c r="G438" i="1"/>
  <c r="H438" i="1"/>
  <c r="F444" i="1"/>
  <c r="F451" i="1" s="1"/>
  <c r="H629" i="1" s="1"/>
  <c r="G444" i="1"/>
  <c r="G451" i="1" s="1"/>
  <c r="H630" i="1" s="1"/>
  <c r="J630" i="1" s="1"/>
  <c r="H444" i="1"/>
  <c r="H451" i="1" s="1"/>
  <c r="H631" i="1" s="1"/>
  <c r="F450" i="1"/>
  <c r="G450" i="1"/>
  <c r="H450" i="1"/>
  <c r="F460" i="1"/>
  <c r="F466" i="1" s="1"/>
  <c r="H612" i="1" s="1"/>
  <c r="G460" i="1"/>
  <c r="G466" i="1" s="1"/>
  <c r="H613" i="1" s="1"/>
  <c r="H460" i="1"/>
  <c r="I460" i="1"/>
  <c r="F464" i="1"/>
  <c r="G464" i="1"/>
  <c r="H464" i="1"/>
  <c r="I464" i="1"/>
  <c r="J464" i="1"/>
  <c r="H466" i="1"/>
  <c r="H614" i="1" s="1"/>
  <c r="J614" i="1" s="1"/>
  <c r="I466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G535" i="1" s="1"/>
  <c r="H514" i="1"/>
  <c r="I514" i="1"/>
  <c r="J514" i="1"/>
  <c r="K514" i="1"/>
  <c r="G519" i="1"/>
  <c r="J519" i="1"/>
  <c r="K519" i="1"/>
  <c r="F524" i="1"/>
  <c r="H524" i="1"/>
  <c r="I524" i="1"/>
  <c r="J524" i="1"/>
  <c r="K524" i="1"/>
  <c r="F529" i="1"/>
  <c r="G529" i="1"/>
  <c r="H529" i="1"/>
  <c r="I529" i="1"/>
  <c r="J529" i="1"/>
  <c r="K529" i="1"/>
  <c r="K535" i="1" s="1"/>
  <c r="L529" i="1"/>
  <c r="F534" i="1"/>
  <c r="G534" i="1"/>
  <c r="H534" i="1"/>
  <c r="I534" i="1"/>
  <c r="J534" i="1"/>
  <c r="J535" i="1" s="1"/>
  <c r="K534" i="1"/>
  <c r="L534" i="1"/>
  <c r="L548" i="1"/>
  <c r="L549" i="1"/>
  <c r="F550" i="1"/>
  <c r="H550" i="1"/>
  <c r="I550" i="1"/>
  <c r="J550" i="1"/>
  <c r="K550" i="1"/>
  <c r="K561" i="1" s="1"/>
  <c r="G555" i="1"/>
  <c r="H555" i="1"/>
  <c r="H561" i="1" s="1"/>
  <c r="I555" i="1"/>
  <c r="I561" i="1" s="1"/>
  <c r="L557" i="1"/>
  <c r="L560" i="1" s="1"/>
  <c r="L558" i="1"/>
  <c r="L559" i="1"/>
  <c r="F560" i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K592" i="1"/>
  <c r="K593" i="1"/>
  <c r="K595" i="1" s="1"/>
  <c r="G638" i="1" s="1"/>
  <c r="K594" i="1"/>
  <c r="H595" i="1"/>
  <c r="I595" i="1"/>
  <c r="J595" i="1"/>
  <c r="F604" i="1"/>
  <c r="G604" i="1"/>
  <c r="I604" i="1"/>
  <c r="J604" i="1"/>
  <c r="K604" i="1"/>
  <c r="G608" i="1"/>
  <c r="G613" i="1"/>
  <c r="J613" i="1" s="1"/>
  <c r="G614" i="1"/>
  <c r="G615" i="1"/>
  <c r="J615" i="1" s="1"/>
  <c r="H615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G630" i="1"/>
  <c r="G631" i="1"/>
  <c r="G633" i="1"/>
  <c r="G634" i="1"/>
  <c r="G639" i="1"/>
  <c r="J639" i="1" s="1"/>
  <c r="H639" i="1"/>
  <c r="G641" i="1"/>
  <c r="J641" i="1" s="1"/>
  <c r="G642" i="1"/>
  <c r="H642" i="1"/>
  <c r="J642" i="1"/>
  <c r="G643" i="1"/>
  <c r="J643" i="1" s="1"/>
  <c r="H643" i="1"/>
  <c r="G644" i="1"/>
  <c r="H644" i="1"/>
  <c r="J644" i="1"/>
  <c r="G645" i="1"/>
  <c r="J645" i="1" s="1"/>
  <c r="H645" i="1"/>
  <c r="L514" i="1" l="1"/>
  <c r="F539" i="1"/>
  <c r="C113" i="2"/>
  <c r="J629" i="1"/>
  <c r="G36" i="2"/>
  <c r="G42" i="2" s="1"/>
  <c r="J43" i="1"/>
  <c r="C43" i="2"/>
  <c r="I542" i="1"/>
  <c r="C39" i="10"/>
  <c r="C32" i="2"/>
  <c r="D96" i="2"/>
  <c r="L400" i="1"/>
  <c r="C130" i="2"/>
  <c r="C133" i="2" s="1"/>
  <c r="C36" i="10"/>
  <c r="C41" i="10" s="1"/>
  <c r="C102" i="2"/>
  <c r="C112" i="2"/>
  <c r="H249" i="1"/>
  <c r="H263" i="1" s="1"/>
  <c r="E106" i="2"/>
  <c r="C24" i="10"/>
  <c r="C29" i="12"/>
  <c r="C30" i="12"/>
  <c r="C73" i="2"/>
  <c r="E136" i="2"/>
  <c r="J185" i="1"/>
  <c r="L519" i="1"/>
  <c r="G539" i="1"/>
  <c r="G542" i="1" s="1"/>
  <c r="C20" i="12"/>
  <c r="G33" i="13"/>
  <c r="J610" i="1"/>
  <c r="G137" i="2"/>
  <c r="J33" i="1"/>
  <c r="G23" i="2"/>
  <c r="K540" i="1"/>
  <c r="H33" i="13"/>
  <c r="C25" i="13"/>
  <c r="D29" i="13"/>
  <c r="C29" i="13" s="1"/>
  <c r="C15" i="10"/>
  <c r="F561" i="1"/>
  <c r="J624" i="1"/>
  <c r="I185" i="1"/>
  <c r="G620" i="1" s="1"/>
  <c r="J620" i="1" s="1"/>
  <c r="I652" i="1"/>
  <c r="F96" i="2"/>
  <c r="C19" i="2"/>
  <c r="E8" i="13"/>
  <c r="C111" i="2"/>
  <c r="A13" i="12"/>
  <c r="E112" i="2"/>
  <c r="E120" i="2" s="1"/>
  <c r="C23" i="10"/>
  <c r="E105" i="2"/>
  <c r="L604" i="1"/>
  <c r="F653" i="1"/>
  <c r="I653" i="1" s="1"/>
  <c r="H651" i="1"/>
  <c r="L282" i="1"/>
  <c r="E101" i="2"/>
  <c r="F43" i="2"/>
  <c r="J542" i="1"/>
  <c r="H185" i="1"/>
  <c r="G619" i="1" s="1"/>
  <c r="J619" i="1" s="1"/>
  <c r="G96" i="2"/>
  <c r="D14" i="13"/>
  <c r="C14" i="13" s="1"/>
  <c r="C13" i="10"/>
  <c r="C103" i="2"/>
  <c r="C12" i="10"/>
  <c r="L221" i="1"/>
  <c r="G650" i="1" s="1"/>
  <c r="G654" i="1" s="1"/>
  <c r="C18" i="10"/>
  <c r="F651" i="1"/>
  <c r="I651" i="1" s="1"/>
  <c r="G651" i="1"/>
  <c r="D119" i="2"/>
  <c r="D120" i="2" s="1"/>
  <c r="D137" i="2" s="1"/>
  <c r="J633" i="1"/>
  <c r="G32" i="2"/>
  <c r="K330" i="1"/>
  <c r="K344" i="1" s="1"/>
  <c r="G31" i="13"/>
  <c r="C21" i="12"/>
  <c r="J631" i="1"/>
  <c r="G10" i="2"/>
  <c r="G19" i="2" s="1"/>
  <c r="J19" i="1"/>
  <c r="G611" i="1" s="1"/>
  <c r="C110" i="2"/>
  <c r="G640" i="1"/>
  <c r="J640" i="1" s="1"/>
  <c r="G652" i="1"/>
  <c r="H637" i="1"/>
  <c r="J637" i="1" s="1"/>
  <c r="C116" i="2"/>
  <c r="E102" i="2"/>
  <c r="C39" i="12"/>
  <c r="G635" i="1"/>
  <c r="J635" i="1" s="1"/>
  <c r="H519" i="1"/>
  <c r="H535" i="1" s="1"/>
  <c r="B153" i="2"/>
  <c r="G153" i="2" s="1"/>
  <c r="E49" i="2"/>
  <c r="E54" i="2" s="1"/>
  <c r="E55" i="2" s="1"/>
  <c r="E96" i="2" s="1"/>
  <c r="L225" i="1"/>
  <c r="L239" i="1" s="1"/>
  <c r="C19" i="12"/>
  <c r="L521" i="1"/>
  <c r="F555" i="1"/>
  <c r="F519" i="1"/>
  <c r="F535" i="1" s="1"/>
  <c r="F361" i="1"/>
  <c r="F301" i="1"/>
  <c r="F330" i="1" s="1"/>
  <c r="F344" i="1" s="1"/>
  <c r="G104" i="1"/>
  <c r="D15" i="13"/>
  <c r="C15" i="13" s="1"/>
  <c r="D12" i="13"/>
  <c r="C12" i="13" s="1"/>
  <c r="D6" i="13"/>
  <c r="C6" i="13" s="1"/>
  <c r="L374" i="1"/>
  <c r="G626" i="1" s="1"/>
  <c r="J626" i="1" s="1"/>
  <c r="F19" i="1"/>
  <c r="G607" i="1" s="1"/>
  <c r="C123" i="2"/>
  <c r="H161" i="1"/>
  <c r="B40" i="12"/>
  <c r="C37" i="12" s="1"/>
  <c r="H329" i="1"/>
  <c r="L329" i="1" s="1"/>
  <c r="H282" i="1"/>
  <c r="C124" i="2"/>
  <c r="C29" i="10"/>
  <c r="C21" i="10"/>
  <c r="F104" i="1"/>
  <c r="F185" i="1" s="1"/>
  <c r="G617" i="1" s="1"/>
  <c r="J617" i="1" s="1"/>
  <c r="J320" i="1"/>
  <c r="J330" i="1" s="1"/>
  <c r="J344" i="1" s="1"/>
  <c r="L201" i="1"/>
  <c r="L552" i="1"/>
  <c r="L555" i="1" s="1"/>
  <c r="L561" i="1" s="1"/>
  <c r="K239" i="1"/>
  <c r="K249" i="1" s="1"/>
  <c r="K263" i="1" s="1"/>
  <c r="C115" i="2"/>
  <c r="C48" i="2"/>
  <c r="C55" i="2" s="1"/>
  <c r="C20" i="10"/>
  <c r="C28" i="12"/>
  <c r="J203" i="1"/>
  <c r="J249" i="1" s="1"/>
  <c r="E114" i="2"/>
  <c r="G161" i="1"/>
  <c r="L354" i="1"/>
  <c r="I203" i="1"/>
  <c r="I249" i="1" s="1"/>
  <c r="I263" i="1" s="1"/>
  <c r="L307" i="1"/>
  <c r="C11" i="10" s="1"/>
  <c r="D7" i="13"/>
  <c r="C7" i="13" s="1"/>
  <c r="F354" i="1"/>
  <c r="F33" i="1"/>
  <c r="F44" i="1" s="1"/>
  <c r="H607" i="1" s="1"/>
  <c r="C106" i="2"/>
  <c r="D37" i="10" l="1"/>
  <c r="D35" i="10"/>
  <c r="D38" i="10"/>
  <c r="D40" i="10"/>
  <c r="C31" i="12"/>
  <c r="A31" i="12" s="1"/>
  <c r="H330" i="1"/>
  <c r="H344" i="1" s="1"/>
  <c r="J263" i="1"/>
  <c r="H638" i="1"/>
  <c r="J638" i="1" s="1"/>
  <c r="D36" i="10"/>
  <c r="D39" i="10"/>
  <c r="C96" i="2"/>
  <c r="C40" i="12"/>
  <c r="A40" i="12" s="1"/>
  <c r="E33" i="13"/>
  <c r="D35" i="13" s="1"/>
  <c r="C8" i="13"/>
  <c r="F31" i="13"/>
  <c r="F33" i="13" s="1"/>
  <c r="G616" i="1"/>
  <c r="J616" i="1" s="1"/>
  <c r="J44" i="1"/>
  <c r="H611" i="1" s="1"/>
  <c r="L524" i="1"/>
  <c r="H539" i="1"/>
  <c r="H542" i="1" s="1"/>
  <c r="D5" i="13"/>
  <c r="G43" i="2"/>
  <c r="C136" i="2"/>
  <c r="C22" i="12"/>
  <c r="A22" i="12" s="1"/>
  <c r="C120" i="2"/>
  <c r="E107" i="2"/>
  <c r="E137" i="2" s="1"/>
  <c r="C10" i="10"/>
  <c r="J607" i="1"/>
  <c r="C101" i="2"/>
  <c r="C107" i="2" s="1"/>
  <c r="C137" i="2" s="1"/>
  <c r="C17" i="10"/>
  <c r="C117" i="2"/>
  <c r="E16" i="13"/>
  <c r="C16" i="13" s="1"/>
  <c r="J611" i="1"/>
  <c r="G636" i="1"/>
  <c r="G621" i="1"/>
  <c r="J621" i="1" s="1"/>
  <c r="L203" i="1"/>
  <c r="G662" i="1"/>
  <c r="C5" i="10" s="1"/>
  <c r="G657" i="1"/>
  <c r="G625" i="1"/>
  <c r="J625" i="1" s="1"/>
  <c r="C27" i="10"/>
  <c r="L320" i="1"/>
  <c r="H650" i="1" s="1"/>
  <c r="H654" i="1" s="1"/>
  <c r="H636" i="1"/>
  <c r="G627" i="1"/>
  <c r="J627" i="1" s="1"/>
  <c r="F542" i="1"/>
  <c r="K539" i="1"/>
  <c r="K542" i="1" s="1"/>
  <c r="G185" i="1"/>
  <c r="G618" i="1" s="1"/>
  <c r="J618" i="1" s="1"/>
  <c r="L535" i="1"/>
  <c r="H657" i="1" l="1"/>
  <c r="H662" i="1"/>
  <c r="C6" i="10" s="1"/>
  <c r="D31" i="13"/>
  <c r="C31" i="13" s="1"/>
  <c r="C5" i="13"/>
  <c r="L330" i="1"/>
  <c r="L344" i="1" s="1"/>
  <c r="G623" i="1" s="1"/>
  <c r="J623" i="1" s="1"/>
  <c r="D27" i="10"/>
  <c r="F650" i="1"/>
  <c r="L249" i="1"/>
  <c r="L263" i="1" s="1"/>
  <c r="G622" i="1" s="1"/>
  <c r="J622" i="1" s="1"/>
  <c r="J636" i="1"/>
  <c r="C28" i="10"/>
  <c r="D17" i="10" s="1"/>
  <c r="D10" i="10"/>
  <c r="D41" i="10"/>
  <c r="H646" i="1" l="1"/>
  <c r="F654" i="1"/>
  <c r="I650" i="1"/>
  <c r="I654" i="1" s="1"/>
  <c r="D33" i="13"/>
  <c r="D36" i="13" s="1"/>
  <c r="D22" i="10"/>
  <c r="C30" i="10"/>
  <c r="D19" i="10"/>
  <c r="D16" i="10"/>
  <c r="D25" i="10"/>
  <c r="D26" i="10"/>
  <c r="D11" i="10"/>
  <c r="D18" i="10"/>
  <c r="D21" i="10"/>
  <c r="D24" i="10"/>
  <c r="D13" i="10"/>
  <c r="D28" i="10" s="1"/>
  <c r="D20" i="10"/>
  <c r="D23" i="10"/>
  <c r="D15" i="10"/>
  <c r="D12" i="10"/>
  <c r="F662" i="1" l="1"/>
  <c r="C4" i="10" s="1"/>
  <c r="F657" i="1"/>
  <c r="I657" i="1"/>
  <c r="I662" i="1"/>
  <c r="C7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394EE05A-FB90-4209-9B08-7EE0FE153D34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FA50C93F-5289-4457-AA4F-8BE29A718113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A8C94F78-9E84-443C-ADCD-B7E3A30669C5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64639966-ACF5-494F-9F46-F497089F1684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F04F9E9A-EC80-4673-95C9-EEDB0D16B315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26E73439-2FE5-4943-A6F5-D7A9DC296D87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3CEFE134-6BAC-4A68-9A91-5E57387B4158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E875E991-DB8E-4001-94E9-67EFA16D4DA0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A5BEFEB4-B187-472E-8661-303FF02C2A5C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CD3158B1-AD81-4783-A444-6CF8A82A4CE9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B2C717B1-7452-4FAD-A7DB-CDCBAE5C8CD9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852EADCE-9162-4C1E-8E5F-451690FB264A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<sst xmlns="http://schemas.openxmlformats.org/spreadsheetml/2006/main" count="3858" uniqueCount="895">
  <si>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</si>
  <si>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</si>
  <si>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</si>
  <si>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</si>
  <si>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</si>
  <si>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</si>
  <si>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</si>
  <si>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</si>
  <si>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</si>
  <si>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</si>
  <si>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</si>
  <si>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</si>
  <si>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</si>
  <si>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</si>
  <si>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</si>
  <si>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</si>
  <si>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</si>
  <si>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</si>
  <si>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</si>
  <si>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</si>
  <si>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</si>
  <si>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</si>
  <si>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</si>
  <si>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</si>
  <si>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</si>
  <si>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</si>
  <si>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</si>
  <si>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</si>
  <si>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</si>
  <si>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</si>
  <si>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</si>
  <si>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</si>
  <si>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</si>
  <si>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</si>
  <si>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</si>
  <si>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</si>
  <si>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</si>
  <si>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</si>
  <si>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</si>
  <si>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</si>
  <si>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</si>
  <si>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</si>
  <si>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</si>
  <si>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</si>
  <si>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</si>
  <si>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</si>
  <si>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</si>
  <si>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</si>
  <si>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</si>
  <si>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</si>
  <si>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</si>
  <si>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</si>
  <si>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</si>
  <si>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</si>
  <si>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</si>
  <si>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</si>
  <si>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</si>
  <si>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</si>
  <si>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</si>
  <si>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</si>
  <si>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</si>
  <si>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</si>
  <si>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</si>
  <si>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</si>
  <si>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</si>
  <si>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</si>
  <si>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</si>
  <si>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</si>
  <si>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</si>
  <si>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</si>
  <si>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</si>
  <si>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</si>
  <si>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</si>
  <si>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</si>
  <si>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</si>
  <si>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</si>
  <si>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</si>
  <si>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</si>
  <si>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</si>
  <si>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</si>
  <si>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</si>
  <si>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</si>
  <si>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</si>
  <si>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</si>
  <si>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</si>
  <si>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</si>
  <si>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</si>
  <si>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</si>
  <si>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</si>
  <si>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</si>
  <si>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</si>
  <si>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</si>
  <si>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</si>
  <si>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</si>
  <si>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</si>
  <si>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</si>
  <si>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</si>
  <si>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</si>
  <si>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</si>
  <si>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</si>
  <si>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</si>
  <si>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</si>
  <si>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</si>
  <si>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</si>
  <si>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</si>
  <si>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</si>
  <si>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</si>
  <si>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</si>
  <si>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</si>
  <si>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</si>
  <si>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</si>
  <si>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</si>
  <si>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</si>
  <si>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</si>
  <si>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</si>
  <si>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</si>
  <si>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</si>
  <si>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</si>
  <si>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</si>
  <si>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</si>
  <si>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</si>
  <si>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</si>
  <si>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</si>
  <si>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</si>
  <si>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</si>
  <si>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</si>
  <si>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</si>
  <si>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</si>
  <si>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</si>
  <si>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</si>
  <si>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</si>
  <si>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</si>
  <si>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</si>
  <si>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</si>
  <si>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</si>
  <si>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</si>
  <si>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</si>
  <si>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</si>
  <si>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</si>
  <si>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</si>
  <si>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</si>
  <si>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</si>
  <si>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</si>
  <si>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</si>
  <si>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</si>
  <si>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</si>
  <si>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</si>
  <si>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</si>
  <si>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</si>
  <si>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</si>
  <si>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</si>
  <si>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</si>
  <si>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</si>
  <si>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</si>
  <si>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</si>
  <si>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</si>
  <si>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</si>
  <si>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</si>
  <si>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</si>
  <si>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</si>
  <si>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</si>
  <si>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</si>
  <si>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</si>
  <si>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</si>
  <si>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</si>
  <si>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</si>
  <si>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</si>
  <si>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</si>
  <si>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</si>
  <si>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</si>
  <si>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</si>
  <si>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</si>
  <si>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</si>
  <si>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</si>
  <si>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</si>
  <si>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</si>
  <si>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</si>
  <si>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</si>
  <si>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</si>
  <si>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</si>
  <si>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</si>
  <si>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</si>
  <si>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</si>
  <si>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</si>
  <si>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</si>
  <si>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</si>
  <si>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</si>
  <si>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</si>
  <si>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</si>
  <si>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</si>
  <si>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</si>
  <si>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</si>
  <si>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</si>
  <si>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</si>
  <si>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</si>
  <si>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</si>
  <si>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</si>
  <si>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</si>
  <si>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</si>
  <si>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</si>
  <si>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</si>
  <si>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</si>
  <si>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</si>
  <si>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</si>
  <si>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</si>
  <si>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</si>
  <si>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</si>
  <si>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</si>
  <si>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</si>
  <si>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</si>
  <si>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</si>
  <si>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</si>
  <si>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</si>
  <si>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</si>
  <si>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</si>
  <si>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</si>
  <si>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</si>
  <si>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</si>
  <si>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</si>
  <si>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</si>
  <si>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</si>
  <si>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</si>
  <si>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</si>
  <si>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</si>
  <si>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</si>
  <si>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</si>
  <si>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</si>
  <si>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</si>
  <si>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</si>
  <si>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</si>
  <si>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</si>
  <si>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</si>
  <si>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</si>
  <si>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</si>
  <si>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</si>
  <si>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</si>
  <si>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</si>
  <si>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</si>
  <si>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</si>
  <si>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</si>
  <si>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</si>
  <si>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</si>
  <si>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</si>
  <si>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</si>
  <si>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</si>
  <si>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</si>
  <si>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</si>
  <si>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</si>
  <si>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</si>
  <si>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</si>
  <si>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</si>
  <si>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</si>
  <si>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</si>
  <si>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</si>
  <si>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</si>
  <si>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</si>
  <si>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</si>
  <si>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</si>
  <si>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</si>
  <si>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</si>
  <si>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</si>
  <si>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</si>
  <si>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</si>
  <si>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</si>
  <si>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</si>
  <si>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</si>
  <si>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</si>
  <si>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</si>
  <si>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</si>
  <si>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</si>
  <si>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</si>
  <si>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</si>
  <si>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</si>
  <si>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</si>
  <si>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</si>
  <si>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</si>
  <si>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</si>
  <si>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</si>
  <si>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</si>
  <si>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</si>
  <si>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</si>
  <si>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</si>
  <si>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</si>
  <si>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</si>
  <si>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</si>
  <si>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</si>
  <si>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</si>
  <si>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</si>
  <si>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</si>
  <si>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</si>
  <si>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</si>
  <si>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</si>
  <si>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</si>
  <si>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</si>
  <si>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</si>
  <si>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</si>
  <si>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</si>
  <si>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</si>
  <si>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</si>
  <si>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</si>
  <si>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</si>
  <si>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</si>
  <si>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</si>
  <si>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</si>
  <si>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</si>
  <si>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</si>
  <si>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</si>
  <si>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</si>
  <si>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</si>
  <si>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</si>
  <si>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</si>
  <si>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</si>
  <si>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</si>
  <si>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</si>
  <si>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</si>
  <si>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</si>
  <si>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</si>
  <si>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</si>
  <si>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</si>
  <si>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</si>
  <si>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</si>
  <si>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</si>
  <si>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</si>
  <si>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</si>
  <si>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</si>
  <si>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</si>
  <si>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</si>
  <si>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</si>
  <si>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</si>
  <si>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</si>
  <si>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</si>
  <si>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</si>
  <si>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</si>
  <si>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</si>
  <si>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</si>
  <si>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</si>
  <si>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</si>
  <si>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</si>
  <si>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</si>
  <si>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</si>
  <si>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</si>
  <si>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</si>
  <si>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</si>
  <si>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</si>
  <si>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</si>
  <si>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</si>
  <si>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</si>
  <si>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</si>
  <si>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</si>
  <si>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</si>
  <si>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</si>
  <si>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</si>
  <si>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</si>
  <si>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</si>
  <si>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</si>
  <si>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</si>
  <si>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</si>
  <si>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</si>
  <si>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</si>
  <si>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</si>
  <si>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</si>
  <si>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</si>
  <si>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</si>
  <si>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</si>
  <si>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</si>
  <si>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</si>
  <si>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</si>
  <si>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</si>
  <si>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</si>
  <si>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</si>
  <si>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</si>
  <si>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</si>
  <si>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</si>
  <si>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</si>
  <si>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</si>
  <si>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</si>
  <si>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</si>
  <si>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</si>
  <si>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</si>
  <si>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</si>
  <si>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</si>
  <si>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</si>
  <si>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</si>
  <si>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</si>
  <si>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</si>
  <si>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</si>
  <si>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</si>
  <si>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</si>
  <si>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</si>
  <si>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</si>
  <si>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</si>
  <si>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</si>
  <si>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</si>
  <si>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</si>
  <si>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</si>
  <si>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</si>
  <si>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</si>
  <si>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</si>
  <si>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</si>
  <si>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</si>
  <si>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</si>
  <si>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</si>
  <si>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</si>
  <si>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</si>
  <si>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</si>
  <si>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</si>
  <si>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</si>
  <si>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</si>
  <si>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</si>
  <si>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</si>
  <si>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</si>
  <si>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</si>
  <si>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</si>
  <si>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</si>
  <si>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</si>
  <si>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</si>
  <si>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</si>
  <si>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</si>
  <si>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</si>
  <si>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</si>
  <si>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</si>
  <si>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</si>
  <si>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</si>
  <si>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</si>
  <si>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</si>
  <si>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</si>
  <si>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</si>
  <si>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</si>
  <si>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</si>
  <si>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</si>
  <si>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</si>
  <si>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</si>
  <si>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</si>
  <si>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</si>
  <si>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</si>
  <si>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</si>
  <si>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</si>
  <si>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</si>
  <si>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</si>
  <si>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</si>
  <si>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</si>
  <si>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</si>
  <si>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</si>
  <si>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</si>
  <si>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</si>
  <si>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</si>
  <si>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</si>
  <si>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</si>
  <si>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</si>
  <si>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</si>
  <si>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</si>
  <si>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</si>
  <si>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</si>
  <si>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</si>
  <si>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</si>
  <si>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</si>
  <si>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</si>
  <si>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</si>
  <si>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</si>
  <si>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</si>
  <si>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</si>
  <si>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</si>
  <si>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</si>
  <si>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</si>
  <si>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</si>
  <si>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</si>
  <si>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</si>
  <si>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</si>
  <si>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</si>
  <si>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</si>
  <si>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</si>
  <si>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</si>
  <si>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</si>
  <si>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</si>
  <si>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</si>
  <si>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</si>
  <si>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</si>
  <si>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</si>
  <si>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</si>
  <si>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</si>
  <si>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</si>
  <si>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</si>
  <si>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</si>
  <si>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</si>
  <si>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</si>
  <si>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</si>
  <si>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</si>
  <si>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</si>
  <si>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</si>
  <si>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</si>
  <si>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</si>
  <si>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</si>
  <si>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</si>
  <si>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</si>
  <si>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</si>
  <si>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</si>
  <si>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</si>
  <si>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</si>
  <si>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</si>
  <si>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</si>
  <si>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</si>
  <si>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</si>
  <si>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</si>
  <si>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</si>
  <si>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</si>
  <si>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</si>
  <si>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</si>
  <si>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</si>
  <si>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</si>
  <si>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</si>
  <si>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</si>
  <si>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</si>
  <si>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</si>
  <si>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</si>
  <si>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</si>
  <si>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</si>
  <si>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</si>
  <si>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</si>
  <si>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</si>
  <si>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</si>
  <si>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</si>
  <si>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</si>
  <si>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</si>
  <si>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</si>
  <si>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</si>
  <si>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</si>
  <si>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</si>
  <si>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</si>
  <si>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</si>
  <si>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</si>
  <si>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</si>
  <si>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</si>
  <si>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</si>
  <si>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</si>
  <si>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</si>
  <si>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</si>
  <si>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</si>
  <si>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</si>
  <si>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</si>
  <si>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</si>
  <si>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</si>
  <si>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</si>
  <si>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</si>
  <si>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</si>
  <si>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</si>
  <si>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</si>
  <si>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</si>
  <si>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</si>
  <si>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</si>
  <si>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</si>
  <si>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</si>
  <si>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</si>
  <si>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</si>
  <si>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</si>
  <si>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</si>
  <si>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</si>
  <si>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</si>
  <si>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</si>
  <si>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</si>
  <si>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</si>
  <si>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</si>
  <si>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</si>
  <si>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</si>
  <si>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</si>
  <si>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</si>
  <si>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</si>
  <si>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</si>
  <si>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</si>
  <si>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</si>
  <si>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</si>
  <si>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</si>
  <si>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</si>
  <si>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</si>
  <si>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</si>
  <si>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</si>
  <si>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</si>
  <si>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</si>
  <si>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</si>
  <si>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</si>
  <si>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</si>
  <si>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</si>
  <si>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</si>
  <si>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</si>
  <si>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</si>
  <si>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</si>
  <si>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</si>
  <si>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</si>
  <si>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</si>
  <si>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</si>
  <si>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</si>
  <si>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</si>
  <si>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</si>
  <si>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</si>
  <si>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</si>
  <si>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</si>
  <si>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</si>
  <si>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</si>
  <si>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</si>
  <si>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</si>
  <si>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</si>
  <si>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</si>
  <si>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</si>
  <si>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</si>
  <si>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</si>
  <si>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</si>
  <si>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</si>
  <si>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</si>
  <si>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</si>
  <si>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</si>
  <si>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</si>
  <si>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</si>
  <si>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</si>
  <si>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</si>
  <si>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</si>
  <si>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</si>
  <si>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</si>
  <si>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</si>
  <si>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</si>
  <si>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</si>
  <si>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</si>
  <si>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</si>
  <si>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</si>
  <si>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</si>
  <si>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</si>
  <si>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</si>
  <si>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</si>
  <si>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</si>
  <si>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</si>
  <si>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</si>
  <si>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</si>
  <si>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</si>
  <si>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</si>
  <si>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</si>
  <si>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</si>
  <si>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</si>
  <si>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</si>
  <si>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</si>
  <si>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</si>
  <si>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</si>
  <si>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</si>
  <si>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</si>
  <si>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</si>
  <si>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</si>
  <si>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</si>
  <si>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</si>
  <si>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</si>
  <si>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</si>
  <si>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</si>
  <si>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</si>
  <si>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</si>
  <si>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</si>
  <si>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</si>
  <si>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</si>
  <si>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</si>
  <si>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</si>
  <si>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</si>
  <si>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</si>
  <si>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</si>
  <si>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</si>
  <si>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</si>
  <si>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</si>
  <si>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</si>
  <si>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</si>
  <si>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</si>
  <si>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</si>
  <si>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</si>
  <si>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</si>
  <si>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</si>
  <si>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</si>
  <si>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</si>
  <si>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</si>
  <si>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</si>
  <si>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</si>
  <si>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</si>
  <si>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</si>
  <si>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</si>
  <si>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</si>
  <si>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</si>
  <si>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</si>
  <si>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</si>
  <si>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</si>
  <si>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</si>
  <si>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</si>
  <si>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</si>
  <si>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</si>
  <si>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</si>
  <si>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</si>
  <si>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</si>
  <si>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</si>
  <si>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</si>
  <si>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</si>
  <si>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</si>
  <si>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</si>
  <si>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</si>
  <si>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</si>
  <si>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</si>
  <si>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</si>
  <si>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</si>
  <si>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</si>
  <si>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</si>
  <si>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</si>
  <si>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</si>
  <si>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</si>
  <si>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</si>
  <si>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</si>
  <si>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</si>
  <si>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</si>
  <si>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</si>
  <si>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</si>
  <si>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</si>
  <si>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</si>
  <si>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</si>
  <si>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</si>
  <si>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</si>
  <si>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</si>
  <si>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</si>
  <si>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</si>
  <si>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</si>
  <si>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</si>
  <si>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</si>
  <si>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</si>
  <si>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</si>
  <si>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</si>
  <si>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</si>
  <si>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</si>
  <si>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</si>
  <si>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</si>
  <si>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</si>
  <si>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</si>
  <si>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</si>
  <si>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</si>
  <si>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</si>
  <si>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</si>
  <si>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</si>
  <si>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</si>
  <si>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</si>
  <si>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</si>
  <si>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</si>
  <si>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</si>
  <si>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</si>
  <si>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</si>
  <si>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</si>
  <si>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</si>
  <si>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</si>
  <si>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</si>
  <si>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</si>
  <si>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</si>
  <si>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</si>
  <si>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</si>
  <si>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</si>
  <si>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</si>
  <si>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</si>
  <si>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</si>
  <si>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</si>
  <si>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</si>
  <si>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</si>
  <si>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</si>
  <si>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</si>
  <si>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</si>
  <si>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</si>
  <si>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</si>
  <si>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</si>
  <si>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</si>
  <si>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</si>
  <si>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</si>
  <si>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</si>
  <si>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</si>
  <si>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</si>
  <si>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</si>
  <si>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</si>
  <si>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</si>
  <si>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</si>
  <si>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</si>
  <si>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</si>
  <si>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</si>
  <si>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</si>
  <si>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</si>
  <si>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</si>
  <si>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</si>
  <si>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</si>
  <si>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</si>
  <si>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</si>
  <si>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</si>
  <si>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</si>
  <si>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</si>
  <si>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</si>
  <si>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</si>
  <si>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</si>
  <si>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</si>
  <si>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</si>
  <si>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</si>
  <si>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</si>
  <si>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</si>
  <si>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</si>
  <si>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</si>
  <si>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</si>
  <si>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</si>
  <si>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</si>
  <si>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</si>
  <si>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</si>
  <si>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</si>
  <si>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</si>
  <si>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</si>
  <si>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</si>
  <si>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</si>
  <si>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</si>
  <si>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</si>
  <si>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</si>
  <si>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</si>
  <si>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</si>
  <si>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</si>
  <si>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</si>
  <si>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</si>
  <si>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</si>
  <si>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</si>
  <si>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</si>
  <si>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</si>
  <si>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</si>
  <si>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</si>
  <si>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</si>
  <si>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</si>
  <si>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</si>
  <si>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</si>
  <si>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</si>
  <si>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</si>
  <si>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</si>
  <si>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</si>
  <si>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</si>
  <si>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</si>
  <si>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</si>
  <si>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</si>
  <si>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</si>
  <si>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</si>
  <si>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</si>
  <si>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</si>
  <si>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</si>
  <si>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</si>
  <si>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</si>
  <si>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</si>
  <si>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</si>
  <si>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</si>
  <si>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</si>
  <si>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</si>
  <si>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</si>
  <si>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</si>
  <si>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</si>
  <si>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</si>
  <si>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</si>
  <si>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</si>
  <si>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</si>
  <si>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</si>
  <si>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</si>
  <si>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</si>
  <si>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</si>
  <si>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</si>
  <si>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</si>
  <si>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</si>
  <si>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</si>
  <si>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</si>
  <si>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</si>
  <si>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</si>
  <si>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</si>
  <si>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</si>
  <si>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</si>
  <si>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</si>
  <si>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</si>
  <si>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</si>
  <si>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</si>
  <si>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</si>
  <si>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</si>
  <si>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</si>
  <si>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</si>
  <si>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</si>
  <si>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</si>
  <si>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</si>
  <si>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</si>
  <si>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</si>
  <si>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</si>
  <si>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</si>
  <si>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</si>
  <si>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</si>
  <si>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</si>
  <si>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</si>
  <si>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</si>
  <si>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</si>
  <si>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</si>
  <si>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</si>
  <si>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</si>
  <si>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</si>
  <si>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</si>
  <si>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</si>
  <si>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</si>
  <si>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</si>
  <si>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</si>
  <si>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MANCHESTER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</si>
</sst>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3FD7-B980-4D95-ADC0-3D25B1EF6F1B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55" sqref="F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335</v>
      </c>
      <c r="C2" s="21">
        <v>335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200+1376206.78</f>
        <v>1376406.78</v>
      </c>
      <c r="G9" s="18">
        <f>153763.12+2635.5</f>
        <v>156398.62</v>
      </c>
      <c r="H9" s="18">
        <f>1400+181961.99</f>
        <v>183361.99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f>3494299+4000000</f>
        <v>7494299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2279723.0699999998</v>
      </c>
      <c r="G12" s="18">
        <v>647260.56000000006</v>
      </c>
      <c r="H12" s="18"/>
      <c r="I12" s="18"/>
      <c r="J12" s="67">
        <f>SUM(I433)</f>
        <v>1913243.27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29049456.09</v>
      </c>
      <c r="G13" s="18">
        <v>224024.04</v>
      </c>
      <c r="H13" s="18">
        <v>17028.79</v>
      </c>
      <c r="I13" s="18"/>
      <c r="J13" s="67">
        <f>SUM(I434)</f>
        <v>133007.43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732511.37</f>
        <v>732511.37</v>
      </c>
      <c r="G14" s="18">
        <v>6562.01</v>
      </c>
      <c r="H14" s="18">
        <v>6560412.75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58440.43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40990836.739999995</v>
      </c>
      <c r="G19" s="41">
        <f>SUM(G9:G18)</f>
        <v>1034245.2300000001</v>
      </c>
      <c r="H19" s="41">
        <f>SUM(H9:H18)</f>
        <v>6760803.5300000003</v>
      </c>
      <c r="I19" s="41">
        <f>SUM(I9:I18)</f>
        <v>0</v>
      </c>
      <c r="J19" s="41">
        <f>SUM(J9:J18)</f>
        <v>2046250.7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4840226.9000000004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693200.63+495135.12+742.42+83640.39</f>
        <v>1272718.5599999998</v>
      </c>
      <c r="G25" s="18">
        <v>97429.26</v>
      </c>
      <c r="H25" s="18">
        <v>556633.74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f>2857331.59</f>
        <v>2857331.59</v>
      </c>
      <c r="G29" s="18">
        <v>27724.77</v>
      </c>
      <c r="H29" s="18">
        <v>637070.39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4965.58+22293+717083.01+6368.12+0.6</f>
        <v>750710.30999999994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f>30788148.34+147881.3</f>
        <v>30936029.640000001</v>
      </c>
      <c r="G31" s="18">
        <f>25012.26+6422.74+8548.92</f>
        <v>39983.919999999998</v>
      </c>
      <c r="H31" s="18">
        <v>114006.06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35816790.100000001</v>
      </c>
      <c r="G33" s="41">
        <f>SUM(G23:G32)</f>
        <v>165137.95000000001</v>
      </c>
      <c r="H33" s="41">
        <f>SUM(H23:H32)</f>
        <v>6147937.0899999999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519821.78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f>1020818+2768790-0.14</f>
        <v>3789607.86</v>
      </c>
      <c r="G41" s="18">
        <v>869107.28</v>
      </c>
      <c r="H41" s="18">
        <v>612866.43999999994</v>
      </c>
      <c r="I41" s="18"/>
      <c r="J41" s="13">
        <f>SUM(I449)</f>
        <v>2046250.7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864617</f>
        <v>864617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5174046.6399999997</v>
      </c>
      <c r="G43" s="41">
        <f>SUM(G35:G42)</f>
        <v>869107.28</v>
      </c>
      <c r="H43" s="41">
        <f>SUM(H35:H42)</f>
        <v>612866.43999999994</v>
      </c>
      <c r="I43" s="41">
        <f>SUM(I35:I42)</f>
        <v>0</v>
      </c>
      <c r="J43" s="41">
        <f>SUM(J35:J42)</f>
        <v>2046250.7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40990836.740000002</v>
      </c>
      <c r="G44" s="41">
        <f>G43+G33</f>
        <v>1034245.23</v>
      </c>
      <c r="H44" s="41">
        <f>H43+H33</f>
        <v>6760803.5299999993</v>
      </c>
      <c r="I44" s="41">
        <f>I43+I33</f>
        <v>0</v>
      </c>
      <c r="J44" s="41">
        <f>J43+J33</f>
        <v>2046250.7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52082553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52082553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4488.6400000000003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>
        <v>35803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>
        <f>188794.5+700+700</f>
        <v>190194.5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>
        <v>55807.06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f>7323758.43+1477278</f>
        <v>8801036.4299999997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2240621.4300000002</v>
      </c>
      <c r="G61" s="24" t="s">
        <v>312</v>
      </c>
      <c r="H61" s="18">
        <v>3143372.12</v>
      </c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202808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>
        <v>34538.85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11248954.5</v>
      </c>
      <c r="G71" s="45" t="s">
        <v>312</v>
      </c>
      <c r="H71" s="41">
        <f>SUM(H55:H70)</f>
        <v>3459715.5300000003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75510.66</v>
      </c>
      <c r="G88" s="18"/>
      <c r="H88" s="18">
        <v>4136.83</v>
      </c>
      <c r="I88" s="18"/>
      <c r="J88" s="18">
        <v>43045.13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-31301+10827.23+1241167.25+44762.15+612478.62+537.71+19855.01+189+3988.36</f>
        <v>1902504.33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37129.9</v>
      </c>
      <c r="G90" s="24" t="s">
        <v>312</v>
      </c>
      <c r="H90" s="18">
        <v>72899.33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11621.76</v>
      </c>
      <c r="G93" s="18"/>
      <c r="H93" s="18">
        <v>900</v>
      </c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980784.24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30388.99+170835+655038</f>
        <v>856261.99</v>
      </c>
      <c r="G102" s="18"/>
      <c r="H102" s="18">
        <f>74011.07+1842-700-700</f>
        <v>74453.070000000007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980524.30999999994</v>
      </c>
      <c r="G103" s="41">
        <f>SUM(G88:G102)</f>
        <v>1902504.33</v>
      </c>
      <c r="H103" s="41">
        <f>SUM(H88:H102)</f>
        <v>1133173.47</v>
      </c>
      <c r="I103" s="41">
        <f>SUM(I88:I102)</f>
        <v>0</v>
      </c>
      <c r="J103" s="41">
        <f>SUM(J88:J102)</f>
        <v>43045.13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64312031.810000002</v>
      </c>
      <c r="G104" s="41">
        <f>G52+G103</f>
        <v>1902504.33</v>
      </c>
      <c r="H104" s="41">
        <f>H52+H71+H86+H103</f>
        <v>4592889</v>
      </c>
      <c r="I104" s="41">
        <f>I52+I103</f>
        <v>0</v>
      </c>
      <c r="J104" s="41">
        <f>J52+J103</f>
        <v>43045.13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56761263-15738976.64</f>
        <v>41022286.359999999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21291730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15738976.640000001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78052993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1998398.73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705885.66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492478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f>83152.26+107122.83</f>
        <v>190275.09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>
        <v>56250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f>262975.65</f>
        <v>262975.65000000002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3196762.39</v>
      </c>
      <c r="G128" s="41">
        <f>SUM(G115:G127)</f>
        <v>190275.09</v>
      </c>
      <c r="H128" s="41">
        <f>SUM(H115:H127)</f>
        <v>319225.65000000002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81249755.390000001</v>
      </c>
      <c r="G132" s="41">
        <f>G113+SUM(G128:G129)</f>
        <v>190275.09</v>
      </c>
      <c r="H132" s="41">
        <f>H113+SUM(H128:H131)</f>
        <v>319225.65000000002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>
        <v>246509.79</v>
      </c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246509.79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7504934.25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3699800.87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834815.06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399426.99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3107846.45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3873997.3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2178971.83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73975.13</v>
      </c>
      <c r="G153" s="18"/>
      <c r="H153" s="18">
        <f>186417.85+4601450.52</f>
        <v>4787868.3699999992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2252946.96</v>
      </c>
      <c r="G154" s="41">
        <f>SUM(G142:G153)</f>
        <v>3107846.45</v>
      </c>
      <c r="H154" s="41">
        <f>SUM(H142:H153)</f>
        <v>21100842.840000004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2252946.96</v>
      </c>
      <c r="G161" s="41">
        <f>G139+G154+SUM(G155:G160)</f>
        <v>3354356.24</v>
      </c>
      <c r="H161" s="41">
        <f>H139+H154+SUM(H155:H160)</f>
        <v>21100842.840000004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1913243.27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298816.38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298816.38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1913243.27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298816.38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1913243.27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148113550.53999999</v>
      </c>
      <c r="G185" s="47">
        <f>G104+G132+G161+G184</f>
        <v>5447135.6600000001</v>
      </c>
      <c r="H185" s="47">
        <f>H104+H132+H161+H184</f>
        <v>26012957.490000002</v>
      </c>
      <c r="I185" s="47">
        <f>I104+I132+I161+I184</f>
        <v>0</v>
      </c>
      <c r="J185" s="47">
        <f>J104+J132+J184</f>
        <v>1956288.4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35731.96+16720674.01-0.03</f>
        <v>16756405.940000001</v>
      </c>
      <c r="G189" s="18">
        <f>-549280.53+6110680.08</f>
        <v>5561399.5499999998</v>
      </c>
      <c r="H189" s="18">
        <f>17600.57+355+2714.93+19597.69+1648.38+2207.44+6776+5228.45</f>
        <v>56128.46</v>
      </c>
      <c r="I189" s="18">
        <f>149.92+160551.85+119183.76</f>
        <v>279885.53000000003</v>
      </c>
      <c r="J189" s="18">
        <f>735</f>
        <v>735</v>
      </c>
      <c r="K189" s="18">
        <f>8.03+34</f>
        <v>42.03</v>
      </c>
      <c r="L189" s="19">
        <f>SUM(F189:K189)</f>
        <v>22654596.510000005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224288.88+7425992.14</f>
        <v>7650281.0199999996</v>
      </c>
      <c r="G190" s="18">
        <f>87263.55+4418864.03</f>
        <v>4506127.58</v>
      </c>
      <c r="H190" s="18">
        <f>25809.06+99319.01+40+1072742.28+1603.68</f>
        <v>1199514.03</v>
      </c>
      <c r="I190" s="18">
        <f>3200.6+71882.08+8329.88</f>
        <v>83412.560000000012</v>
      </c>
      <c r="J190" s="18">
        <f>378.7+8538.72</f>
        <v>8917.42</v>
      </c>
      <c r="K190" s="18">
        <f>1103.02+35</f>
        <v>1138.02</v>
      </c>
      <c r="L190" s="19">
        <f>SUM(F190:K190)</f>
        <v>13449390.629999999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15142.4</v>
      </c>
      <c r="G192" s="18">
        <v>2116.69</v>
      </c>
      <c r="H192" s="18"/>
      <c r="I192" s="18">
        <v>84.88</v>
      </c>
      <c r="J192" s="18"/>
      <c r="K192" s="18"/>
      <c r="L192" s="19">
        <f>SUM(F192:K192)</f>
        <v>17343.97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93213.17+1979619.66</f>
        <v>2072832.8299999998</v>
      </c>
      <c r="G194" s="18">
        <f>39859.79+757985.55</f>
        <v>797845.34000000008</v>
      </c>
      <c r="H194" s="18">
        <f>738112.94+722135.95+54099.5+3.96</f>
        <v>1514352.3499999999</v>
      </c>
      <c r="I194" s="18">
        <v>927.4</v>
      </c>
      <c r="J194" s="18"/>
      <c r="K194" s="18"/>
      <c r="L194" s="19">
        <f t="shared" ref="L194:L200" si="0">SUM(F194:K194)</f>
        <v>4385957.92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4458.48+765474.57</f>
        <v>769933.04999999993</v>
      </c>
      <c r="G195" s="18">
        <f>3349.14+258060.51+45966.41+40297.2</f>
        <v>347673.26000000007</v>
      </c>
      <c r="H195" s="18">
        <v>178.42</v>
      </c>
      <c r="I195" s="18">
        <f>254.18+187.09</f>
        <v>441.27</v>
      </c>
      <c r="J195" s="18"/>
      <c r="K195" s="18"/>
      <c r="L195" s="19">
        <f t="shared" si="0"/>
        <v>1118226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213891.49</v>
      </c>
      <c r="G196" s="18">
        <v>99206.7</v>
      </c>
      <c r="H196" s="18">
        <v>34592.14</v>
      </c>
      <c r="I196" s="18">
        <v>2252.12</v>
      </c>
      <c r="J196" s="18"/>
      <c r="K196" s="18">
        <v>4009.62</v>
      </c>
      <c r="L196" s="19">
        <f t="shared" si="0"/>
        <v>353952.07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14482.95+2516253.88</f>
        <v>2530736.83</v>
      </c>
      <c r="G197" s="18">
        <f>3316.6+894545.84</f>
        <v>897862.44</v>
      </c>
      <c r="H197" s="18">
        <f>7073.11+77162.47+6422.08+1027.18</f>
        <v>91684.84</v>
      </c>
      <c r="I197" s="18">
        <f>11984.15</f>
        <v>11984.15</v>
      </c>
      <c r="J197" s="18">
        <v>1701</v>
      </c>
      <c r="K197" s="18">
        <v>8284</v>
      </c>
      <c r="L197" s="19">
        <f t="shared" si="0"/>
        <v>3542253.26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209622.92</v>
      </c>
      <c r="G198" s="18">
        <v>250526.28</v>
      </c>
      <c r="H198" s="18">
        <v>58336.59</v>
      </c>
      <c r="I198" s="18">
        <v>2876.54</v>
      </c>
      <c r="J198" s="18"/>
      <c r="K198" s="18"/>
      <c r="L198" s="19">
        <f t="shared" si="0"/>
        <v>521362.33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4830.77+1463.09</f>
        <v>6293.8600000000006</v>
      </c>
      <c r="G199" s="18">
        <f>1724.84+274.27</f>
        <v>1999.11</v>
      </c>
      <c r="H199" s="18">
        <f>2297388.44+80368.94+50981.32+49365.04+1560+3185+14449.22</f>
        <v>2497297.96</v>
      </c>
      <c r="I199" s="18">
        <f>-5151.56+418215.61+557257.13+6639.17</f>
        <v>976960.35</v>
      </c>
      <c r="J199" s="18">
        <v>6417</v>
      </c>
      <c r="K199" s="18">
        <f>64.75-29291.76</f>
        <v>-29227.01</v>
      </c>
      <c r="L199" s="19">
        <f t="shared" si="0"/>
        <v>3459741.2700000005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40659.93</v>
      </c>
      <c r="G200" s="18">
        <v>17043.89</v>
      </c>
      <c r="H200" s="18">
        <f>933.29+2085427.81</f>
        <v>2086361.1</v>
      </c>
      <c r="I200" s="18"/>
      <c r="J200" s="18"/>
      <c r="K200" s="18"/>
      <c r="L200" s="19">
        <f t="shared" si="0"/>
        <v>2144064.92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255359.76</v>
      </c>
      <c r="G201" s="18">
        <v>97379.15</v>
      </c>
      <c r="H201" s="18">
        <f>144430.68+14152.59+16120.3</f>
        <v>174703.56999999998</v>
      </c>
      <c r="I201" s="18">
        <f>17971.35+1096+7383.85</f>
        <v>26451.199999999997</v>
      </c>
      <c r="J201" s="18">
        <f>10817.5+3501</f>
        <v>14318.5</v>
      </c>
      <c r="K201" s="18">
        <v>189.76</v>
      </c>
      <c r="L201" s="19">
        <f>SUM(F201:K201)</f>
        <v>568401.93999999994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30521160.029999997</v>
      </c>
      <c r="G203" s="41">
        <f t="shared" si="1"/>
        <v>12579179.989999996</v>
      </c>
      <c r="H203" s="41">
        <f t="shared" si="1"/>
        <v>7713149.459999999</v>
      </c>
      <c r="I203" s="41">
        <f t="shared" si="1"/>
        <v>1385276</v>
      </c>
      <c r="J203" s="41">
        <f t="shared" si="1"/>
        <v>32088.92</v>
      </c>
      <c r="K203" s="41">
        <f t="shared" si="1"/>
        <v>-15563.579999999998</v>
      </c>
      <c r="L203" s="41">
        <f t="shared" si="1"/>
        <v>52215290.82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22460.09+0.02+10167055.3</f>
        <v>10189515.41</v>
      </c>
      <c r="G207" s="18">
        <f>-345262.05+4043684.93</f>
        <v>3698422.8800000004</v>
      </c>
      <c r="H207" s="18">
        <f>11063.21+377.5+1791.95+12413.9+3635.5+1622.21</f>
        <v>30904.269999999997</v>
      </c>
      <c r="I207" s="18">
        <f>94.23+80017.88+5530.65</f>
        <v>85642.76</v>
      </c>
      <c r="J207" s="18">
        <f>1175.94+5525.17</f>
        <v>6701.1100000000006</v>
      </c>
      <c r="K207" s="18">
        <f>5.05+136+462</f>
        <v>603.04999999999995</v>
      </c>
      <c r="L207" s="19">
        <f>SUM(F207:K207)</f>
        <v>14011789.48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140981.58+3497966.96</f>
        <v>3638948.54</v>
      </c>
      <c r="G208" s="18">
        <f>54851.37+1971055.83</f>
        <v>2025907.2000000002</v>
      </c>
      <c r="H208" s="18">
        <f>16222.84+74314.08+371.8+1117948.65+17.15</f>
        <v>1208874.5199999998</v>
      </c>
      <c r="I208" s="18">
        <f>2011.8+26854.82+13263.38</f>
        <v>42130</v>
      </c>
      <c r="J208" s="18">
        <v>238.04</v>
      </c>
      <c r="K208" s="18">
        <v>693.33</v>
      </c>
      <c r="L208" s="19">
        <f>SUM(F208:K208)</f>
        <v>6916791.6299999999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853418.36</v>
      </c>
      <c r="G209" s="18">
        <v>373912.39</v>
      </c>
      <c r="H209" s="18">
        <v>523.5</v>
      </c>
      <c r="I209" s="18">
        <v>6328.15</v>
      </c>
      <c r="J209" s="18"/>
      <c r="K209" s="18"/>
      <c r="L209" s="19">
        <f>SUM(F209:K209)</f>
        <v>1234182.3999999999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164457.8+3784.88</f>
        <v>168242.68</v>
      </c>
      <c r="G210" s="18">
        <f>24614.65+291.92</f>
        <v>24906.57</v>
      </c>
      <c r="H210" s="18">
        <f>10295+22260.57</f>
        <v>32555.57</v>
      </c>
      <c r="I210" s="18">
        <f>53.35+1311.4+442.01</f>
        <v>1806.76</v>
      </c>
      <c r="J210" s="18"/>
      <c r="K210" s="18">
        <f>840+143.3</f>
        <v>983.3</v>
      </c>
      <c r="L210" s="19">
        <f>SUM(F210:K210)</f>
        <v>228494.88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58591.13+1001022.17</f>
        <v>1059613.3</v>
      </c>
      <c r="G212" s="18">
        <f>25054.73+348977.93</f>
        <v>374032.66</v>
      </c>
      <c r="H212" s="18">
        <f>463956.71+166994.11+10047.5</f>
        <v>640998.32000000007</v>
      </c>
      <c r="I212" s="18">
        <v>557.48</v>
      </c>
      <c r="J212" s="18"/>
      <c r="K212" s="18"/>
      <c r="L212" s="19">
        <f t="shared" ref="L212:L218" si="2">SUM(F212:K212)</f>
        <v>2075201.76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2802.47+227371.11</f>
        <v>230173.58</v>
      </c>
      <c r="G213" s="18">
        <f>2105.17+64801.4+36074.96+14892.15</f>
        <v>117873.68</v>
      </c>
      <c r="H213" s="18">
        <v>112.15</v>
      </c>
      <c r="I213" s="18">
        <f>282.19+424.91+685.78</f>
        <v>1392.88</v>
      </c>
      <c r="J213" s="18"/>
      <c r="K213" s="18"/>
      <c r="L213" s="19">
        <f t="shared" si="2"/>
        <v>349552.29000000004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134446.07999999999</v>
      </c>
      <c r="G214" s="18">
        <v>62358.5</v>
      </c>
      <c r="H214" s="18">
        <f>21743.63+400+20000</f>
        <v>42143.630000000005</v>
      </c>
      <c r="I214" s="18">
        <v>1415.62</v>
      </c>
      <c r="J214" s="18"/>
      <c r="K214" s="18">
        <v>2520.33</v>
      </c>
      <c r="L214" s="19">
        <f t="shared" si="2"/>
        <v>242884.15999999997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9103.57+951454.04</f>
        <v>960557.61</v>
      </c>
      <c r="G215" s="18">
        <f>2084.72+369682.61</f>
        <v>371767.32999999996</v>
      </c>
      <c r="H215" s="18">
        <f>4445.96+42694.76+6171.81+704.83</f>
        <v>54017.36</v>
      </c>
      <c r="I215" s="18">
        <v>6166.57</v>
      </c>
      <c r="J215" s="18"/>
      <c r="K215" s="18">
        <f>2965+341.36</f>
        <v>3306.36</v>
      </c>
      <c r="L215" s="19">
        <f t="shared" si="2"/>
        <v>1395815.2300000002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131762.98000000001</v>
      </c>
      <c r="G216" s="18">
        <v>157473.66</v>
      </c>
      <c r="H216" s="18">
        <v>36668.71</v>
      </c>
      <c r="I216" s="18">
        <v>1808.11</v>
      </c>
      <c r="J216" s="18"/>
      <c r="K216" s="18"/>
      <c r="L216" s="19">
        <f t="shared" si="2"/>
        <v>327713.46000000002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3036.48</v>
      </c>
      <c r="G217" s="18">
        <v>1084.18</v>
      </c>
      <c r="H217" s="18">
        <f>1444072.73+31121.95+19354.68+3704.17+6675.67</f>
        <v>1504929.1999999997</v>
      </c>
      <c r="I217" s="18">
        <f>-3238.12+274957.31+409399.26</f>
        <v>681118.45</v>
      </c>
      <c r="J217" s="18"/>
      <c r="K217" s="18">
        <f>40.7+1738.8</f>
        <v>1779.5</v>
      </c>
      <c r="L217" s="19">
        <f t="shared" si="2"/>
        <v>2191947.8099999996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31453.53</v>
      </c>
      <c r="G218" s="18">
        <v>13184.74</v>
      </c>
      <c r="H218" s="18">
        <f>721.97+1623232.01</f>
        <v>1623953.98</v>
      </c>
      <c r="I218" s="18"/>
      <c r="J218" s="18"/>
      <c r="K218" s="18"/>
      <c r="L218" s="19">
        <f t="shared" si="2"/>
        <v>1668592.25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160511.85</v>
      </c>
      <c r="G219" s="18">
        <v>61209.75</v>
      </c>
      <c r="H219" s="18">
        <f>90785+13168.28+7930.15</f>
        <v>111883.43</v>
      </c>
      <c r="I219" s="18">
        <f>11296.28+2.2+4180</f>
        <v>15478.480000000001</v>
      </c>
      <c r="J219" s="18">
        <f>6799.57+670</f>
        <v>7469.57</v>
      </c>
      <c r="K219" s="18">
        <v>119.28</v>
      </c>
      <c r="L219" s="19">
        <f>SUM(F219:K219)</f>
        <v>356672.36000000004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17561680.400000002</v>
      </c>
      <c r="G221" s="41">
        <f>SUM(G207:G220)</f>
        <v>7282133.54</v>
      </c>
      <c r="H221" s="41">
        <f>SUM(H207:H220)</f>
        <v>5287564.6399999987</v>
      </c>
      <c r="I221" s="41">
        <f>SUM(I207:I220)</f>
        <v>843845.26</v>
      </c>
      <c r="J221" s="41">
        <f>SUM(J207:J220)</f>
        <v>14408.720000000001</v>
      </c>
      <c r="K221" s="41">
        <f t="shared" si="3"/>
        <v>10005.150000000001</v>
      </c>
      <c r="L221" s="41">
        <f t="shared" si="3"/>
        <v>30999637.709999997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43899.26-0.03+14838775.77</f>
        <v>14882675</v>
      </c>
      <c r="G225" s="18">
        <f>-674830.37+5642676.26+24</f>
        <v>4967869.8899999997</v>
      </c>
      <c r="H225" s="18">
        <f>21623.55+14352.12+1976.05+15223.92+2831.35+555+3496.2+18942.83+1698.01</f>
        <v>80699.029999999984</v>
      </c>
      <c r="I225" s="18">
        <f>184.19+159426.46+96583.53</f>
        <v>256194.18</v>
      </c>
      <c r="J225" s="18"/>
      <c r="K225" s="18">
        <f>9.87+800+3962.05</f>
        <v>4771.92</v>
      </c>
      <c r="L225" s="19">
        <f>SUM(F225:K225)</f>
        <v>20192210.020000003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275554.91+2843063.36</f>
        <v>3118618.27</v>
      </c>
      <c r="G226" s="18">
        <f>107209.5+1591438.08</f>
        <v>1698647.58</v>
      </c>
      <c r="H226" s="18">
        <f>31708.27+209647.77+1188.75+3187755.61</f>
        <v>3430300.4</v>
      </c>
      <c r="I226" s="18">
        <f>3932.16+36381.31+10953.34</f>
        <v>51266.81</v>
      </c>
      <c r="J226" s="18">
        <f>465.26+1017.85</f>
        <v>1483.1100000000001</v>
      </c>
      <c r="K226" s="18">
        <f>1355.14+35</f>
        <v>1390.14</v>
      </c>
      <c r="L226" s="19">
        <f>SUM(F226:K226)</f>
        <v>8301706.3099999996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2288301.5299999998</v>
      </c>
      <c r="G227" s="18">
        <v>905789.45</v>
      </c>
      <c r="H227" s="18"/>
      <c r="I227" s="18">
        <f>14156.25+2610.35</f>
        <v>16766.599999999999</v>
      </c>
      <c r="J227" s="18"/>
      <c r="K227" s="18"/>
      <c r="L227" s="19">
        <f>SUM(F227:K227)</f>
        <v>3210857.5799999996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766655.99+30623.11</f>
        <v>797279.1</v>
      </c>
      <c r="G228" s="18">
        <f>150320.02+2361.88</f>
        <v>152681.9</v>
      </c>
      <c r="H228" s="18">
        <f>109470.07+225.6+604.65+180108.23</f>
        <v>290408.55000000005</v>
      </c>
      <c r="I228" s="18">
        <f>104.28+54859.28+17128.83+41210.3+3576.27</f>
        <v>116878.96</v>
      </c>
      <c r="J228" s="18">
        <v>6663.25</v>
      </c>
      <c r="K228" s="18">
        <f>43223+39000+1159.45+64000</f>
        <v>147382.45000000001</v>
      </c>
      <c r="L228" s="19">
        <f>SUM(F228:K228)</f>
        <v>1511294.21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114519.04+1230613.8</f>
        <v>1345132.84</v>
      </c>
      <c r="G230" s="18">
        <f>48970.6+423271.09</f>
        <v>472241.69</v>
      </c>
      <c r="H230" s="18">
        <f>906824.47+222529.41+44633.09</f>
        <v>1173986.97</v>
      </c>
      <c r="I230" s="18">
        <v>690.29</v>
      </c>
      <c r="J230" s="18"/>
      <c r="K230" s="18"/>
      <c r="L230" s="19">
        <f t="shared" ref="L230:L236" si="4">SUM(F230:K230)</f>
        <v>2992051.79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5477.56+277670.34</f>
        <v>283147.90000000002</v>
      </c>
      <c r="G231" s="18">
        <f>4114.65+117139.46+38713.47+20386.39</f>
        <v>180353.97000000003</v>
      </c>
      <c r="H231" s="18">
        <f>219.2+2320</f>
        <v>2539.1999999999998</v>
      </c>
      <c r="I231" s="18">
        <f>1297.39+5654.63+3801.87</f>
        <v>10753.89</v>
      </c>
      <c r="J231" s="18"/>
      <c r="K231" s="18"/>
      <c r="L231" s="19">
        <f t="shared" si="4"/>
        <v>476794.96000000008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262780.98</v>
      </c>
      <c r="G232" s="18">
        <v>121882.52</v>
      </c>
      <c r="H232" s="18">
        <f>42498.91+6500</f>
        <v>48998.91</v>
      </c>
      <c r="I232" s="18">
        <v>2766.9</v>
      </c>
      <c r="J232" s="18"/>
      <c r="K232" s="18">
        <v>4926.1099999999997</v>
      </c>
      <c r="L232" s="19">
        <f t="shared" si="4"/>
        <v>441355.42000000004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17793.34+1936087.34</f>
        <v>1953880.6800000002</v>
      </c>
      <c r="G233" s="18">
        <f>4074.68+829031.46</f>
        <v>833106.14</v>
      </c>
      <c r="H233" s="18">
        <f>8689.82+60737.87+8194.56+9749.45</f>
        <v>87371.7</v>
      </c>
      <c r="I233" s="18">
        <v>19064.46</v>
      </c>
      <c r="J233" s="18"/>
      <c r="K233" s="18">
        <f>19970+6349.47</f>
        <v>26319.47</v>
      </c>
      <c r="L233" s="19">
        <f t="shared" si="4"/>
        <v>2919742.4500000007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257536.74</v>
      </c>
      <c r="G234" s="18">
        <v>307789.43</v>
      </c>
      <c r="H234" s="18">
        <v>71670.67</v>
      </c>
      <c r="I234" s="18">
        <v>3534.04</v>
      </c>
      <c r="J234" s="18"/>
      <c r="K234" s="18"/>
      <c r="L234" s="19">
        <f t="shared" si="4"/>
        <v>640530.88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5934.95</v>
      </c>
      <c r="G235" s="18">
        <v>2119.09</v>
      </c>
      <c r="H235" s="18">
        <f>2822505.79+51630.29+39354.93+29741.68+13929.69</f>
        <v>2957162.3800000004</v>
      </c>
      <c r="I235" s="18">
        <f>-6329.06+1724+494705.07+829405.73+16493.94</f>
        <v>1335999.68</v>
      </c>
      <c r="J235" s="18"/>
      <c r="K235" s="18">
        <f>79.55+5394.6</f>
        <v>5474.1500000000005</v>
      </c>
      <c r="L235" s="19">
        <f t="shared" si="4"/>
        <v>4306690.2500000009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18101.580000000002</v>
      </c>
      <c r="G236" s="18">
        <v>7587.84</v>
      </c>
      <c r="H236" s="18">
        <f>415.5+1027088.43</f>
        <v>1027503.93</v>
      </c>
      <c r="I236" s="18"/>
      <c r="J236" s="18"/>
      <c r="K236" s="18"/>
      <c r="L236" s="19">
        <f t="shared" si="4"/>
        <v>1053193.3500000001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f>313727.71+6578.32</f>
        <v>320306.03000000003</v>
      </c>
      <c r="G237" s="18">
        <f>119637.24+1699.73-0.01</f>
        <v>121336.96000000001</v>
      </c>
      <c r="H237" s="18">
        <f>177443.4+8599.88+16571.75</f>
        <v>202615.03</v>
      </c>
      <c r="I237" s="18">
        <f>22079.09+1559.25+2535</f>
        <v>26173.34</v>
      </c>
      <c r="J237" s="18">
        <f>13290.07+5421.09</f>
        <v>18711.16</v>
      </c>
      <c r="K237" s="18">
        <v>233.14</v>
      </c>
      <c r="L237" s="19">
        <f>SUM(F237:K237)</f>
        <v>689375.66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25533695.599999998</v>
      </c>
      <c r="G239" s="41">
        <f t="shared" si="5"/>
        <v>9771406.4600000009</v>
      </c>
      <c r="H239" s="41">
        <f t="shared" si="5"/>
        <v>9373256.7699999996</v>
      </c>
      <c r="I239" s="41">
        <f t="shared" si="5"/>
        <v>1840089.1500000001</v>
      </c>
      <c r="J239" s="41">
        <f t="shared" si="5"/>
        <v>26857.52</v>
      </c>
      <c r="K239" s="41">
        <f t="shared" si="5"/>
        <v>190497.38</v>
      </c>
      <c r="L239" s="41">
        <f t="shared" si="5"/>
        <v>46735802.88000001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f>128.83</f>
        <v>128.83000000000001</v>
      </c>
      <c r="G243" s="18"/>
      <c r="H243" s="18"/>
      <c r="I243" s="18"/>
      <c r="J243" s="18"/>
      <c r="K243" s="18"/>
      <c r="L243" s="19">
        <f t="shared" si="6"/>
        <v>128.83000000000001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f>51865</f>
        <v>51865</v>
      </c>
      <c r="I247" s="18"/>
      <c r="J247" s="18">
        <v>72000</v>
      </c>
      <c r="K247" s="18"/>
      <c r="L247" s="19">
        <f t="shared" si="6"/>
        <v>123865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128.83000000000001</v>
      </c>
      <c r="G248" s="41">
        <f t="shared" si="7"/>
        <v>0</v>
      </c>
      <c r="H248" s="41">
        <f t="shared" si="7"/>
        <v>51865</v>
      </c>
      <c r="I248" s="41">
        <f t="shared" si="7"/>
        <v>0</v>
      </c>
      <c r="J248" s="41">
        <f t="shared" si="7"/>
        <v>72000</v>
      </c>
      <c r="K248" s="41">
        <f t="shared" si="7"/>
        <v>0</v>
      </c>
      <c r="L248" s="41">
        <f>SUM(F248:K248)</f>
        <v>123993.83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73616664.859999999</v>
      </c>
      <c r="G249" s="41">
        <f t="shared" si="8"/>
        <v>29632719.989999998</v>
      </c>
      <c r="H249" s="41">
        <f t="shared" si="8"/>
        <v>22425835.869999997</v>
      </c>
      <c r="I249" s="41">
        <f t="shared" si="8"/>
        <v>4069210.41</v>
      </c>
      <c r="J249" s="41">
        <f t="shared" si="8"/>
        <v>145355.16</v>
      </c>
      <c r="K249" s="41">
        <f t="shared" si="8"/>
        <v>184938.95</v>
      </c>
      <c r="L249" s="41">
        <f t="shared" si="8"/>
        <v>130074725.24000001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6001663.6100000003</v>
      </c>
      <c r="L252" s="19">
        <f>SUM(F252:K252)</f>
        <v>6001663.6100000003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6176694.2300000004</v>
      </c>
      <c r="L253" s="19">
        <f>SUM(F253:K253)</f>
        <v>6176694.2300000004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1913243.27</v>
      </c>
      <c r="L258" s="19">
        <f t="shared" si="9"/>
        <v>1913243.27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14091601.109999999</v>
      </c>
      <c r="L262" s="41">
        <f t="shared" si="9"/>
        <v>14091601.109999999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73616664.859999999</v>
      </c>
      <c r="G263" s="42">
        <f t="shared" si="11"/>
        <v>29632719.989999998</v>
      </c>
      <c r="H263" s="42">
        <f t="shared" si="11"/>
        <v>22425835.869999997</v>
      </c>
      <c r="I263" s="42">
        <f t="shared" si="11"/>
        <v>4069210.41</v>
      </c>
      <c r="J263" s="42">
        <f t="shared" si="11"/>
        <v>145355.16</v>
      </c>
      <c r="K263" s="42">
        <f t="shared" si="11"/>
        <v>14276540.059999999</v>
      </c>
      <c r="L263" s="42">
        <f t="shared" si="11"/>
        <v>144166326.35000002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1072128.62+0.05+5890.89</f>
        <v>1078019.56</v>
      </c>
      <c r="G268" s="18">
        <v>575039.88</v>
      </c>
      <c r="H268" s="18">
        <f>97114.62+479.79+780+354.25+383.07</f>
        <v>99111.73</v>
      </c>
      <c r="I268" s="18">
        <f>16502.95+62251.52+275.45</f>
        <v>79029.919999999998</v>
      </c>
      <c r="J268" s="18">
        <f>4164.36</f>
        <v>4164.3599999999997</v>
      </c>
      <c r="K268" s="18">
        <f>11225.4</f>
        <v>11225.4</v>
      </c>
      <c r="L268" s="19">
        <f>SUM(F268:K268)</f>
        <v>1846590.8499999999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771396.85+52631.88+4672154.8+505238.73+63449.82</f>
        <v>6064872.0800000001</v>
      </c>
      <c r="G269" s="18">
        <f>308248.68+28782.43+1721098.79+249946.87+36732.34</f>
        <v>2344809.11</v>
      </c>
      <c r="H269" s="18">
        <f>230869.06+2692.07+33276.86+1684665.95+253.22+390+89468.32+16847.74+937.75+74637.38+881.01+11442.75+499.78+38.56+1470.65+39882.55+1110+171.41</f>
        <v>2189535.0599999996</v>
      </c>
      <c r="I269" s="18">
        <f>47948.51+31130.61+736.89+192531.72+158196.91+8541.33+2304.08+21074.59+6849.43</f>
        <v>469314.07000000007</v>
      </c>
      <c r="J269" s="18">
        <f>1425.45+369+43603.29+15400+8961.31+130.78</f>
        <v>69889.83</v>
      </c>
      <c r="K269" s="18">
        <f>10570.33+9.34+5158.66</f>
        <v>15738.33</v>
      </c>
      <c r="L269" s="19">
        <f>SUM(F269:K269)</f>
        <v>11154158.48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f>312799.63+14979.95</f>
        <v>327779.58</v>
      </c>
      <c r="G271" s="18">
        <f>73583.11+1200.33</f>
        <v>74783.44</v>
      </c>
      <c r="H271" s="18">
        <f>1120+1059.71+1008.26+24068.86+1530.65+3846.53+15392.91+1825.8</f>
        <v>49852.72</v>
      </c>
      <c r="I271" s="18">
        <f>160.83+2704.79+168411.76</f>
        <v>171277.38</v>
      </c>
      <c r="J271" s="18">
        <f>55.65+28848.79</f>
        <v>28904.440000000002</v>
      </c>
      <c r="K271" s="18"/>
      <c r="L271" s="19">
        <f>SUM(F271:K271)</f>
        <v>652597.56000000006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39784.19+68623+99594.74+72027.3</f>
        <v>280029.23</v>
      </c>
      <c r="G273" s="18">
        <f>14558.38+24898.34+41935.54+34990</f>
        <v>116382.26000000001</v>
      </c>
      <c r="H273" s="18"/>
      <c r="I273" s="18"/>
      <c r="J273" s="18"/>
      <c r="K273" s="18"/>
      <c r="L273" s="19">
        <f t="shared" ref="L273:L279" si="12">SUM(F273:K273)</f>
        <v>396411.49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13375.46+52097.78</f>
        <v>65473.24</v>
      </c>
      <c r="G274" s="18">
        <f>6304.94+25566.06</f>
        <v>31871</v>
      </c>
      <c r="H274" s="18">
        <f>26674.84+525+2160.19</f>
        <v>29360.03</v>
      </c>
      <c r="I274" s="18">
        <f>659.32+2160.87</f>
        <v>2820.19</v>
      </c>
      <c r="J274" s="18">
        <f>833.12</f>
        <v>833.12</v>
      </c>
      <c r="K274" s="18">
        <f>3501.59</f>
        <v>3501.59</v>
      </c>
      <c r="L274" s="19">
        <f t="shared" si="12"/>
        <v>133859.16999999998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f>240452.36</f>
        <v>240452.36</v>
      </c>
      <c r="G275" s="18">
        <f>84546.07</f>
        <v>84546.07</v>
      </c>
      <c r="H275" s="18">
        <f>135842.93+11270.17+1283.39+13783.02+6458.11</f>
        <v>168637.62</v>
      </c>
      <c r="I275" s="18">
        <f>20459.55+17798.81+208.96</f>
        <v>38467.32</v>
      </c>
      <c r="J275" s="18">
        <f>9250.76+70</f>
        <v>9320.76</v>
      </c>
      <c r="K275" s="18">
        <f>21668.41+7472.48</f>
        <v>29140.89</v>
      </c>
      <c r="L275" s="19">
        <f t="shared" si="12"/>
        <v>570565.02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18066.57</v>
      </c>
      <c r="G280" s="18">
        <v>5292.16</v>
      </c>
      <c r="H280" s="18">
        <f>473.23</f>
        <v>473.23</v>
      </c>
      <c r="I280" s="18">
        <f>-1163.09+2170.35</f>
        <v>1007.26</v>
      </c>
      <c r="J280" s="18">
        <v>1409.15</v>
      </c>
      <c r="K280" s="18">
        <v>206.87</v>
      </c>
      <c r="L280" s="19">
        <f>SUM(F280:K280)</f>
        <v>26455.239999999998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8074692.620000002</v>
      </c>
      <c r="G282" s="42">
        <f t="shared" si="13"/>
        <v>3232723.9199999995</v>
      </c>
      <c r="H282" s="42">
        <f t="shared" si="13"/>
        <v>2536970.3899999997</v>
      </c>
      <c r="I282" s="42">
        <f t="shared" si="13"/>
        <v>761916.14</v>
      </c>
      <c r="J282" s="42">
        <f t="shared" si="13"/>
        <v>114521.65999999999</v>
      </c>
      <c r="K282" s="42">
        <f t="shared" si="13"/>
        <v>59813.08</v>
      </c>
      <c r="L282" s="41">
        <f t="shared" si="13"/>
        <v>14780637.810000001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f>242595.03</f>
        <v>242595.03</v>
      </c>
      <c r="G287" s="18">
        <f>100847.5</f>
        <v>100847.5</v>
      </c>
      <c r="H287" s="18">
        <f>25961.88+114.45+173.78</f>
        <v>26250.11</v>
      </c>
      <c r="I287" s="18">
        <f>5266.76+6199.16</f>
        <v>11465.92</v>
      </c>
      <c r="J287" s="18">
        <f>111971.77</f>
        <v>111971.77</v>
      </c>
      <c r="K287" s="18">
        <f>731.65</f>
        <v>731.65</v>
      </c>
      <c r="L287" s="19">
        <f>SUM(F287:K287)</f>
        <v>493861.98000000004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826340.1+33082.9+23361.59</f>
        <v>882784.59</v>
      </c>
      <c r="G288" s="18">
        <f>380913.09+18091.81+14601.13</f>
        <v>413606.03</v>
      </c>
      <c r="H288" s="18">
        <f>4570.08+76113.16+30488.56+2202.48</f>
        <v>113374.28</v>
      </c>
      <c r="I288" s="18">
        <f>13514.45+3731.28+4497.16+12990.34</f>
        <v>34733.229999999996</v>
      </c>
      <c r="J288" s="18">
        <f>460.53</f>
        <v>460.53</v>
      </c>
      <c r="K288" s="18"/>
      <c r="L288" s="19">
        <f>SUM(F288:K288)</f>
        <v>1444958.6600000001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f>9491.36+208533.08</f>
        <v>218024.44</v>
      </c>
      <c r="G290" s="18">
        <f>1390.6+49055.41</f>
        <v>50446.01</v>
      </c>
      <c r="H290" s="18">
        <f>704+666.1+633.77+375+3.6+16045.91+1020.44+2564.35+10261.94</f>
        <v>32275.11</v>
      </c>
      <c r="I290" s="18">
        <f>101.09+342.78+1803.19</f>
        <v>2247.06</v>
      </c>
      <c r="J290" s="18">
        <f>34.98+9320.38</f>
        <v>9355.3599999999988</v>
      </c>
      <c r="K290" s="18"/>
      <c r="L290" s="19">
        <f>SUM(F290:K290)</f>
        <v>312347.98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f>30051.87+49754.59+44360.11</f>
        <v>124166.56999999999</v>
      </c>
      <c r="G292" s="18">
        <f>12440.36+23587.82+21544.2</f>
        <v>57572.380000000005</v>
      </c>
      <c r="H292" s="18"/>
      <c r="I292" s="18"/>
      <c r="J292" s="18"/>
      <c r="K292" s="18"/>
      <c r="L292" s="19">
        <f t="shared" ref="L292:L298" si="14">SUM(F292:K292)</f>
        <v>181738.95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f>8407.43+6826.56</f>
        <v>15233.990000000002</v>
      </c>
      <c r="G293" s="18">
        <f>3963.1+1092.04</f>
        <v>5055.1399999999994</v>
      </c>
      <c r="H293" s="18">
        <f>16767.05+330+1357.82</f>
        <v>18454.87</v>
      </c>
      <c r="I293" s="18">
        <f>414.43+1358.26</f>
        <v>1772.69</v>
      </c>
      <c r="J293" s="18">
        <f>523.67</f>
        <v>523.66999999999996</v>
      </c>
      <c r="K293" s="18">
        <v>2201</v>
      </c>
      <c r="L293" s="19">
        <f t="shared" si="14"/>
        <v>43241.36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f>35177.45</f>
        <v>35177.449999999997</v>
      </c>
      <c r="G294" s="18">
        <f>12205.92</f>
        <v>12205.92</v>
      </c>
      <c r="H294" s="18">
        <f>64284.03+107+1443.04</f>
        <v>65834.069999999992</v>
      </c>
      <c r="I294" s="18">
        <f>1388.24+131.34</f>
        <v>1519.58</v>
      </c>
      <c r="J294" s="18">
        <v>113.03</v>
      </c>
      <c r="K294" s="18">
        <f>44+949.32</f>
        <v>993.32</v>
      </c>
      <c r="L294" s="19">
        <f t="shared" si="14"/>
        <v>115843.37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>
        <f>11356.12</f>
        <v>11356.12</v>
      </c>
      <c r="G299" s="18">
        <f>3326.5</f>
        <v>3326.5</v>
      </c>
      <c r="H299" s="18">
        <f>297.46</f>
        <v>297.45999999999998</v>
      </c>
      <c r="I299" s="18">
        <f>-731.08+1364.22</f>
        <v>633.14</v>
      </c>
      <c r="J299" s="18">
        <v>885.75</v>
      </c>
      <c r="K299" s="18">
        <v>130.04</v>
      </c>
      <c r="L299" s="19">
        <f>SUM(F299:K299)</f>
        <v>16629.010000000002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1529338.19</v>
      </c>
      <c r="G301" s="42">
        <f t="shared" si="15"/>
        <v>643059.4800000001</v>
      </c>
      <c r="H301" s="42">
        <f t="shared" si="15"/>
        <v>256485.9</v>
      </c>
      <c r="I301" s="42">
        <f t="shared" si="15"/>
        <v>52371.619999999995</v>
      </c>
      <c r="J301" s="42">
        <f t="shared" si="15"/>
        <v>123310.11</v>
      </c>
      <c r="K301" s="42">
        <f t="shared" si="15"/>
        <v>4056.01</v>
      </c>
      <c r="L301" s="41">
        <f t="shared" si="15"/>
        <v>2608621.31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f>753578.94</f>
        <v>753578.94</v>
      </c>
      <c r="G306" s="18">
        <f>300988.45</f>
        <v>300988.45</v>
      </c>
      <c r="H306" s="18">
        <f>125940.97+754.5+150+76.3+238.32</f>
        <v>127160.09000000001</v>
      </c>
      <c r="I306" s="18">
        <f>25344.16+1629.55</f>
        <v>26973.71</v>
      </c>
      <c r="J306" s="18">
        <f>1538.94</f>
        <v>1538.94</v>
      </c>
      <c r="K306" s="18">
        <f>74789.66</f>
        <v>74789.66</v>
      </c>
      <c r="L306" s="19">
        <f>SUM(F306:K306)</f>
        <v>1285029.7899999998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f>1066229.97+535058.01+384524.92+413377.15</f>
        <v>2399190.0499999998</v>
      </c>
      <c r="G307" s="18">
        <f>706250.19+1800+274597.77+124756.29+204501.98+767.25</f>
        <v>1312673.48</v>
      </c>
      <c r="H307" s="18">
        <f>53808.63+196+20325.71+1468.32+61066.95+720.83+9362.25+408.91+31.55+1203.26</f>
        <v>148592.40999999997</v>
      </c>
      <c r="I307" s="18">
        <f>12965.73+3543.25+2998.11+8660.23+6988.36+1885.16</f>
        <v>37040.840000000004</v>
      </c>
      <c r="J307" s="18">
        <f>307.02+12600+7331.98</f>
        <v>20239</v>
      </c>
      <c r="K307" s="18">
        <f>7.65</f>
        <v>7.65</v>
      </c>
      <c r="L307" s="19">
        <f>SUM(F307:K307)</f>
        <v>3917743.4299999997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f>35171.83+38271.66</f>
        <v>73443.490000000005</v>
      </c>
      <c r="G308" s="18">
        <f>21532.57+25058.27</f>
        <v>46590.84</v>
      </c>
      <c r="H308" s="18">
        <f>153.8+290+1701+4219.98+603.65+1640+10534.89+146.4</f>
        <v>19289.72</v>
      </c>
      <c r="I308" s="18">
        <f>4620+1041.02+34886.95+2227.81+3900.63+2502.38+50037.14+2154.39+1260.54+89947.43+1672.37+13787.79+1864.22+748</f>
        <v>210650.66999999998</v>
      </c>
      <c r="J308" s="18">
        <f>19133.91+1402.59+29299.77+447.66+231+1536.47+321788.18</f>
        <v>373839.58</v>
      </c>
      <c r="K308" s="18">
        <f>605+4000+1000+1400</f>
        <v>7005</v>
      </c>
      <c r="L308" s="19">
        <f>SUM(F308:K308)</f>
        <v>730819.3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f>18982.71+246920.33</f>
        <v>265903.03999999998</v>
      </c>
      <c r="G309" s="18">
        <f>2781.19+42101.97</f>
        <v>44883.16</v>
      </c>
      <c r="H309" s="18">
        <f>1376+1301.92+1238.72+1200+5400+750+7.22+4011.48+3168.47+41648.37+255.11+239.48+641.09+3869.49</f>
        <v>65107.35</v>
      </c>
      <c r="I309" s="18">
        <f>197.59+1326.44+685.57+2831.02+9179.59</f>
        <v>14220.21</v>
      </c>
      <c r="J309" s="18">
        <f>68.37+1168.5+1883+6213.59</f>
        <v>9333.4599999999991</v>
      </c>
      <c r="K309" s="18"/>
      <c r="L309" s="19">
        <f>SUM(F309:K309)</f>
        <v>399447.22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f>32550.7+75766.78+113971.01+87893.81+9041.83+0.01</f>
        <v>319224.14</v>
      </c>
      <c r="G311" s="18">
        <f>11911.4+28493.59+49711.2+42694.23+2436.71</f>
        <v>135247.13</v>
      </c>
      <c r="H311" s="18">
        <f>684+5672.41+2118.08</f>
        <v>8474.49</v>
      </c>
      <c r="I311" s="18">
        <f>4870.07+1003.07</f>
        <v>5873.1399999999994</v>
      </c>
      <c r="J311" s="18"/>
      <c r="K311" s="18"/>
      <c r="L311" s="19">
        <f t="shared" ref="L311:L317" si="16">SUM(F311:K311)</f>
        <v>468818.9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f>26489.18+13342.81+269418.65</f>
        <v>309250.64</v>
      </c>
      <c r="G312" s="18">
        <f>12265.29+2134.44+119473.8</f>
        <v>133873.53</v>
      </c>
      <c r="H312" s="18">
        <f>53052.25+15563.93+197.64+32771.95+645+2653.93+10691.4+1148.64+52457.5+3177+3080.88+92.22+102.17</f>
        <v>175634.51</v>
      </c>
      <c r="I312" s="18">
        <f>810.02+2654.79+16596.58+6536.03+6978.38</f>
        <v>33575.800000000003</v>
      </c>
      <c r="J312" s="18">
        <f>1023.54+136952.62+5167.25</f>
        <v>143143.41</v>
      </c>
      <c r="K312" s="18">
        <f>4301.95+175</f>
        <v>4476.95</v>
      </c>
      <c r="L312" s="19">
        <f t="shared" si="16"/>
        <v>799954.84000000008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f>33903.24</f>
        <v>33903.24</v>
      </c>
      <c r="G313" s="18">
        <f>8523.97</f>
        <v>8523.9699999999993</v>
      </c>
      <c r="H313" s="18">
        <f>256.72+125646.04+209.13+2820.48</f>
        <v>128932.37</v>
      </c>
      <c r="I313" s="18">
        <f>2713.39</f>
        <v>2713.39</v>
      </c>
      <c r="J313" s="18">
        <f>220.91</f>
        <v>220.91</v>
      </c>
      <c r="K313" s="18">
        <f>86+1855.49</f>
        <v>1941.49</v>
      </c>
      <c r="L313" s="19">
        <f t="shared" si="16"/>
        <v>176235.37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>
        <v>458.56</v>
      </c>
      <c r="J314" s="18">
        <f>1891+927.6</f>
        <v>2818.6</v>
      </c>
      <c r="K314" s="18"/>
      <c r="L314" s="19">
        <f t="shared" si="16"/>
        <v>3277.16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f>5016.41+4036.76</f>
        <v>9053.17</v>
      </c>
      <c r="I317" s="18">
        <f>1858.13</f>
        <v>1858.13</v>
      </c>
      <c r="J317" s="18">
        <f>33.08</f>
        <v>33.08</v>
      </c>
      <c r="K317" s="18"/>
      <c r="L317" s="19">
        <f t="shared" si="16"/>
        <v>10944.38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>
        <f>22196.07</f>
        <v>22196.07</v>
      </c>
      <c r="G318" s="18">
        <f>6501.8</f>
        <v>6501.8</v>
      </c>
      <c r="H318" s="18">
        <f>581.39</f>
        <v>581.39</v>
      </c>
      <c r="I318" s="18">
        <f>-1428.94+6452.46</f>
        <v>5023.5200000000004</v>
      </c>
      <c r="J318" s="18">
        <f>1731.24</f>
        <v>1731.24</v>
      </c>
      <c r="K318" s="18">
        <f>254.16</f>
        <v>254.16</v>
      </c>
      <c r="L318" s="19">
        <f>SUM(F318:K318)</f>
        <v>36288.18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4176689.6100000003</v>
      </c>
      <c r="G320" s="42">
        <f t="shared" si="17"/>
        <v>1989282.36</v>
      </c>
      <c r="H320" s="42">
        <f t="shared" si="17"/>
        <v>682825.5</v>
      </c>
      <c r="I320" s="42">
        <f t="shared" si="17"/>
        <v>338387.97000000003</v>
      </c>
      <c r="J320" s="42">
        <f t="shared" si="17"/>
        <v>552898.22</v>
      </c>
      <c r="K320" s="42">
        <f t="shared" si="17"/>
        <v>88474.91</v>
      </c>
      <c r="L320" s="41">
        <f t="shared" si="17"/>
        <v>7828558.5699999994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>
        <f>1866.9+1173.48+2293.62</f>
        <v>5334</v>
      </c>
      <c r="I324" s="18">
        <f>518.66+326.02+637.21</f>
        <v>1481.8899999999999</v>
      </c>
      <c r="J324" s="18">
        <f>391.17+245.88+480.58</f>
        <v>1117.6299999999999</v>
      </c>
      <c r="K324" s="18">
        <f>1259.85+791.9+1547.81</f>
        <v>3599.56</v>
      </c>
      <c r="L324" s="19">
        <f t="shared" ref="L324:L329" si="18">SUM(F324:K324)</f>
        <v>11533.08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f>299685.75+19812.5+37501-35.12</f>
        <v>356964.13</v>
      </c>
      <c r="G325" s="18">
        <f>29346.17+1694.03+3321.47-110.28</f>
        <v>34251.39</v>
      </c>
      <c r="H325" s="18">
        <f>8000+440+670.65+200+540+530.74+1282.9+6378.26+1300</f>
        <v>19342.55</v>
      </c>
      <c r="I325" s="18">
        <f>13544.89+24220.62+244.13</f>
        <v>38009.639999999992</v>
      </c>
      <c r="J325" s="18">
        <f>692.94+1298.02+514.85</f>
        <v>2505.81</v>
      </c>
      <c r="K325" s="18"/>
      <c r="L325" s="19">
        <f t="shared" si="18"/>
        <v>451073.52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356964.13</v>
      </c>
      <c r="G329" s="41">
        <f t="shared" si="19"/>
        <v>34251.39</v>
      </c>
      <c r="H329" s="41">
        <f t="shared" si="19"/>
        <v>24676.55</v>
      </c>
      <c r="I329" s="41">
        <f t="shared" si="19"/>
        <v>39491.529999999992</v>
      </c>
      <c r="J329" s="41">
        <f t="shared" si="19"/>
        <v>3623.4399999999996</v>
      </c>
      <c r="K329" s="41">
        <f t="shared" si="19"/>
        <v>3599.56</v>
      </c>
      <c r="L329" s="41">
        <f t="shared" si="18"/>
        <v>462606.6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14137684.550000003</v>
      </c>
      <c r="G330" s="41">
        <f t="shared" si="20"/>
        <v>5899317.1499999994</v>
      </c>
      <c r="H330" s="41">
        <f t="shared" si="20"/>
        <v>3500958.3399999994</v>
      </c>
      <c r="I330" s="41">
        <f t="shared" si="20"/>
        <v>1192167.26</v>
      </c>
      <c r="J330" s="41">
        <f t="shared" si="20"/>
        <v>794353.42999999993</v>
      </c>
      <c r="K330" s="41">
        <f t="shared" si="20"/>
        <v>155943.56</v>
      </c>
      <c r="L330" s="41">
        <f t="shared" si="20"/>
        <v>25680424.290000003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f>201111.41+15811.47+78227.25+9557.14-5890.89</f>
        <v>298816.38</v>
      </c>
      <c r="L336" s="19">
        <f t="shared" ref="L336:L342" si="21">SUM(F336:K336)</f>
        <v>298816.38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298816.38</v>
      </c>
      <c r="L343" s="41">
        <f>SUM(L333:L342)</f>
        <v>298816.38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14137684.550000003</v>
      </c>
      <c r="G344" s="41">
        <f>G330</f>
        <v>5899317.1499999994</v>
      </c>
      <c r="H344" s="41">
        <f>H330</f>
        <v>3500958.3399999994</v>
      </c>
      <c r="I344" s="41">
        <f>I330</f>
        <v>1192167.26</v>
      </c>
      <c r="J344" s="41">
        <f>J330</f>
        <v>794353.42999999993</v>
      </c>
      <c r="K344" s="47">
        <f>K330+K343</f>
        <v>454759.94</v>
      </c>
      <c r="L344" s="41">
        <f>L330+L343</f>
        <v>25979240.670000002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481686.5+82880.13</f>
        <v>564566.63</v>
      </c>
      <c r="G350" s="18">
        <f>133145.89+47935.61</f>
        <v>181081.5</v>
      </c>
      <c r="H350" s="18">
        <f>17200+12449.5+597.61+11192.5+6955.66+20044.64+3030.36+93.9+371.78+120.59+1007.94+51.38+1271.06</f>
        <v>74386.92</v>
      </c>
      <c r="I350" s="18">
        <f>759692.12+4433.39+17869.42+5831.48+73952.94</f>
        <v>861779.35000000009</v>
      </c>
      <c r="J350" s="18">
        <f>2467.95-0.24</f>
        <v>2467.71</v>
      </c>
      <c r="K350" s="18"/>
      <c r="L350" s="13">
        <f>SUM(F350:K350)</f>
        <v>1684282.11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f>460912.56+80117.46</f>
        <v>541030.02</v>
      </c>
      <c r="G351" s="18">
        <f>184808.04+46337.76</f>
        <v>231145.80000000002</v>
      </c>
      <c r="H351" s="18">
        <f>17000+12395.47+1373.53+5524.75+6723.81+19376.49+2929.35+90.77+359.39+116.57+974.34+49.67+1228.69</f>
        <v>68142.83</v>
      </c>
      <c r="I351" s="18">
        <f>579592.61+4285.61+17273.77+5637.1+71487.84</f>
        <v>678276.92999999993</v>
      </c>
      <c r="J351" s="18">
        <v>2385.69</v>
      </c>
      <c r="K351" s="18"/>
      <c r="L351" s="19">
        <f>SUM(F351:K351)</f>
        <v>1520981.27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f>646139.82+113269.51</f>
        <v>759409.33</v>
      </c>
      <c r="G352" s="18">
        <f>225767.76+65512</f>
        <v>291279.76</v>
      </c>
      <c r="H352" s="18">
        <f>17300+16006.49+1180.4+5777.75+9506.07+27394.35+4141.49+128.33+508.1+164.8+1377.52+70.22+1737.12</f>
        <v>85292.640000000014</v>
      </c>
      <c r="I352" s="18">
        <f>669692.47+6058.96+24421.54+7969.69+101069</f>
        <v>809211.65999999992</v>
      </c>
      <c r="J352" s="18">
        <f>7325+3372.87</f>
        <v>10697.869999999999</v>
      </c>
      <c r="K352" s="18"/>
      <c r="L352" s="19">
        <f>SUM(F352:K352)</f>
        <v>1955891.26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1865005.98</v>
      </c>
      <c r="G354" s="47">
        <f t="shared" si="22"/>
        <v>703507.06</v>
      </c>
      <c r="H354" s="47">
        <f t="shared" si="22"/>
        <v>227822.39</v>
      </c>
      <c r="I354" s="47">
        <f t="shared" si="22"/>
        <v>2349267.94</v>
      </c>
      <c r="J354" s="47">
        <f t="shared" si="22"/>
        <v>15551.269999999999</v>
      </c>
      <c r="K354" s="47">
        <f t="shared" si="22"/>
        <v>0</v>
      </c>
      <c r="L354" s="47">
        <f t="shared" si="22"/>
        <v>5161154.6399999997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719694.56+1923.85</f>
        <v>721618.41</v>
      </c>
      <c r="G359" s="18">
        <f>553269.38+1748.96</f>
        <v>555018.34</v>
      </c>
      <c r="H359" s="18">
        <f>635489.05+2157.05</f>
        <v>637646.10000000009</v>
      </c>
      <c r="I359" s="56">
        <f>SUM(F359:H359)</f>
        <v>1914282.85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150369.65</f>
        <v>150369.65</v>
      </c>
      <c r="G360" s="63">
        <f>126661.49</f>
        <v>126661.49</v>
      </c>
      <c r="H360" s="63">
        <f>157953.95</f>
        <v>157953.95000000001</v>
      </c>
      <c r="I360" s="56">
        <f>SUM(F360:H360)</f>
        <v>434985.09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871988.06</v>
      </c>
      <c r="G361" s="47">
        <f>SUM(G359:G360)</f>
        <v>681679.83</v>
      </c>
      <c r="H361" s="47">
        <f>SUM(H359:H360)</f>
        <v>795600.05</v>
      </c>
      <c r="I361" s="47">
        <f>SUM(I359:I360)</f>
        <v>2349267.94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>
        <v>1149763.47</v>
      </c>
      <c r="H387" s="18">
        <v>22905.42</v>
      </c>
      <c r="I387" s="18"/>
      <c r="J387" s="24" t="s">
        <v>312</v>
      </c>
      <c r="K387" s="24" t="s">
        <v>312</v>
      </c>
      <c r="L387" s="56">
        <f t="shared" ref="L387:L392" si="26">SUM(F387:K387)</f>
        <v>1172668.8899999999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1285.44</v>
      </c>
      <c r="I388" s="18"/>
      <c r="J388" s="24" t="s">
        <v>312</v>
      </c>
      <c r="K388" s="24" t="s">
        <v>312</v>
      </c>
      <c r="L388" s="56">
        <f t="shared" si="26"/>
        <v>1285.44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749166.98</v>
      </c>
      <c r="H389" s="18">
        <v>17347.830000000002</v>
      </c>
      <c r="I389" s="18"/>
      <c r="J389" s="24" t="s">
        <v>312</v>
      </c>
      <c r="K389" s="24" t="s">
        <v>312</v>
      </c>
      <c r="L389" s="56">
        <f t="shared" si="26"/>
        <v>766514.80999999994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v>14312.82</v>
      </c>
      <c r="H392" s="18">
        <f>935.6+570.84</f>
        <v>1506.44</v>
      </c>
      <c r="I392" s="18"/>
      <c r="J392" s="24" t="s">
        <v>312</v>
      </c>
      <c r="K392" s="24" t="s">
        <v>312</v>
      </c>
      <c r="L392" s="56">
        <f t="shared" si="26"/>
        <v>15819.26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1913243.27</v>
      </c>
      <c r="H393" s="47">
        <f>SUM(H387:H392)</f>
        <v>43045.130000000005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1956288.3999999997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1913243.27</v>
      </c>
      <c r="H400" s="47">
        <f>H385+H393+H399</f>
        <v>43045.130000000005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1956288.3999999997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>
        <v>1913243.27</v>
      </c>
      <c r="H433" s="18"/>
      <c r="I433" s="56">
        <f t="shared" si="33"/>
        <v>1913243.27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>
        <f>133009.31-1.88</f>
        <v>133007.43</v>
      </c>
      <c r="H434" s="18"/>
      <c r="I434" s="56">
        <f t="shared" si="33"/>
        <v>133007.43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2046250.7</v>
      </c>
      <c r="H438" s="13">
        <f>SUM(H431:H437)</f>
        <v>0</v>
      </c>
      <c r="I438" s="13">
        <f>SUM(I431:I437)</f>
        <v>2046250.7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2046250.7</v>
      </c>
      <c r="H449" s="18"/>
      <c r="I449" s="56">
        <f>SUM(F449:H449)</f>
        <v>2046250.7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2046250.7</v>
      </c>
      <c r="H450" s="83">
        <f>SUM(H446:H449)</f>
        <v>0</v>
      </c>
      <c r="I450" s="83">
        <f>SUM(I446:I449)</f>
        <v>2046250.7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2046250.7</v>
      </c>
      <c r="H451" s="42">
        <f>H444+H450</f>
        <v>0</v>
      </c>
      <c r="I451" s="42">
        <f>I444+I450</f>
        <v>2046250.7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1226822.45</v>
      </c>
      <c r="G455" s="18">
        <v>583126.26</v>
      </c>
      <c r="H455" s="18">
        <v>579149.62</v>
      </c>
      <c r="I455" s="18"/>
      <c r="J455" s="18">
        <v>89962.3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148113550.53999999</v>
      </c>
      <c r="G458" s="18">
        <v>5447135.6600000001</v>
      </c>
      <c r="H458" s="18">
        <v>26012957.489999998</v>
      </c>
      <c r="I458" s="18"/>
      <c r="J458" s="18">
        <f>1956290.28-1.88</f>
        <v>1956288.4000000001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148113550.53999999</v>
      </c>
      <c r="G460" s="53">
        <f>SUM(G458:G459)</f>
        <v>5447135.6600000001</v>
      </c>
      <c r="H460" s="53">
        <f>SUM(H458:H459)</f>
        <v>26012957.489999998</v>
      </c>
      <c r="I460" s="53">
        <f>SUM(I458:I459)</f>
        <v>0</v>
      </c>
      <c r="J460" s="53">
        <f>SUM(J458:J459)</f>
        <v>1956288.4000000001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144166326.34999999</v>
      </c>
      <c r="G462" s="18">
        <v>5161154.6399999997</v>
      </c>
      <c r="H462" s="18">
        <v>25979240.670000002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144166326.34999999</v>
      </c>
      <c r="G464" s="53">
        <f>SUM(G462:G463)</f>
        <v>5161154.6399999997</v>
      </c>
      <c r="H464" s="53">
        <f>SUM(H462:H463)</f>
        <v>25979240.670000002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5174046.6399999857</v>
      </c>
      <c r="G466" s="53">
        <f>(G455+G460)- G464</f>
        <v>869107.28000000026</v>
      </c>
      <c r="H466" s="53">
        <f>(H455+H460)- H464</f>
        <v>612866.43999999762</v>
      </c>
      <c r="I466" s="53">
        <f>(I455+I460)- I464</f>
        <v>0</v>
      </c>
      <c r="J466" s="53">
        <f>(J455+J460)- J464</f>
        <v>2046250.7000000002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5468660.8399999999</v>
      </c>
      <c r="G497" s="144">
        <v>3204908.87</v>
      </c>
      <c r="H497" s="144">
        <v>2340851.6800000002</v>
      </c>
      <c r="I497" s="144">
        <v>6332718.0300000003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254039.46+152097.46+7341736.11+219139.42+67949.73+7216.51+67554.7+42854.86+29055.86+4891.74+6375+2733.29+32967.26-22549.19-854.52</f>
        <v>8205207.6900000013</v>
      </c>
      <c r="G511" s="18">
        <f>105148.18+84258.55+4596708.27+76423.7+42711.26+5212.49+14756.47+19722.03+10792.16+374.28+487.79+209.14+14188.84-9452.2</f>
        <v>4961540.96</v>
      </c>
      <c r="H511" s="18">
        <f>149695.08+17954.09+105921.51+40+20805+432005.16+2503.87+83157.5+674013.98+431.9+9.35</f>
        <v>1486537.44</v>
      </c>
      <c r="I511" s="18">
        <f>31943.47+6622.49-0.04+82640.39+27911.29+736.89+779.5</f>
        <v>150633.99000000002</v>
      </c>
      <c r="J511" s="18">
        <f>1146.25+5702.65+8538.72+369+28000</f>
        <v>43756.619999999995</v>
      </c>
      <c r="K511" s="18">
        <f>1103.02+5.95+35</f>
        <v>1143.97</v>
      </c>
      <c r="L511" s="88">
        <f>SUM(F511:K511)</f>
        <v>14848820.670000002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159681.94+95604.12+3754388.42+55345.06+42711.26+4536.09+251281.49+3225+3675+2164.62+12276.89-13563.5</f>
        <v>4371326.3899999997</v>
      </c>
      <c r="G512" s="18">
        <f>66093.14+52962.52+2122361.3+2400+27309.31+24674.41+3276.42+84651.91+246.82+281.21+165.67+3161.35-5685.57</f>
        <v>2381898.4900000002</v>
      </c>
      <c r="H512" s="18">
        <f>94094.05+11285.43+77756.58+371.8+1117948.65+98.05+271.48</f>
        <v>1301826.0399999998</v>
      </c>
      <c r="I512" s="18">
        <f>20078.75+4162.71+26896.31+13263.38+827.79+439.95</f>
        <v>65668.89</v>
      </c>
      <c r="J512" s="18">
        <f>720.5+3584.52+1175.94+5525.17</f>
        <v>11006.130000000001</v>
      </c>
      <c r="K512" s="18">
        <f>693.33+3.74+462</f>
        <v>1159.0700000000002</v>
      </c>
      <c r="L512" s="88">
        <f>SUM(F512:K512)</f>
        <v>8132885.0099999998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312105.62+186862.6+2853309.61+154402.72+83481.09+8865.99+166462.2+2325+2925+1950+52737.89+210951.86+8804.6-12927.54</f>
        <v>4032256.6400000006</v>
      </c>
      <c r="G513" s="18">
        <f>129182.04+103517.65+1729280.75+1800+59728.67+48227.26+6403.91+86666.69+177.94+223.82+149.24+18086.91+80737.3+1569.04-5418.99</f>
        <v>2260332.2299999995</v>
      </c>
      <c r="H513" s="18">
        <f>183911.1+22057.88+211022.77+1188.75+2533106.79+5270+655264.82+530.62</f>
        <v>3612352.73</v>
      </c>
      <c r="I513" s="18">
        <f>39244.84+8136.21+37282.32+6626.31</f>
        <v>91289.68</v>
      </c>
      <c r="J513" s="18">
        <f>1408.25+7006.11+1017.85</f>
        <v>9432.2100000000009</v>
      </c>
      <c r="K513" s="18">
        <f>1355.14+7.31+35</f>
        <v>1397.45</v>
      </c>
      <c r="L513" s="88">
        <f>SUM(F513:K513)</f>
        <v>10007060.939999999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16608790.720000003</v>
      </c>
      <c r="G514" s="108">
        <f t="shared" ref="G514:L514" si="35">SUM(G511:G513)</f>
        <v>9603771.6799999997</v>
      </c>
      <c r="H514" s="108">
        <f t="shared" si="35"/>
        <v>6400716.209999999</v>
      </c>
      <c r="I514" s="108">
        <f t="shared" si="35"/>
        <v>307592.56</v>
      </c>
      <c r="J514" s="108">
        <f t="shared" si="35"/>
        <v>64194.96</v>
      </c>
      <c r="K514" s="108">
        <f t="shared" si="35"/>
        <v>3700.49</v>
      </c>
      <c r="L514" s="89">
        <f t="shared" si="35"/>
        <v>32988766.619999997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172482.12+1587391.17</f>
        <v>1759873.29</v>
      </c>
      <c r="G516" s="18">
        <f>73613.12+634336.5+6015.31+10358.98+1155.33</f>
        <v>725479.24</v>
      </c>
      <c r="H516" s="18">
        <f>105699.49+721402.2+54099.5+3.96+733.75</f>
        <v>881938.89999999991</v>
      </c>
      <c r="I516" s="18">
        <f>927.4</f>
        <v>927.4</v>
      </c>
      <c r="J516" s="18"/>
      <c r="K516" s="18"/>
      <c r="L516" s="88">
        <f>SUM(F516:K516)</f>
        <v>3368218.83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108417.34+323177.45+33679.25</f>
        <v>465274.04000000004</v>
      </c>
      <c r="G517" s="18">
        <f>46271.1+120311.93+8343.43+3421+726.21+13944.4</f>
        <v>193018.06999999998</v>
      </c>
      <c r="H517" s="18">
        <f>66439.68+166994.11+10047.5</f>
        <v>243481.28999999998</v>
      </c>
      <c r="I517" s="18">
        <v>557.48</v>
      </c>
      <c r="J517" s="18"/>
      <c r="K517" s="18"/>
      <c r="L517" s="88">
        <f>SUM(F517:K517)</f>
        <v>902330.87999999989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211906.61+101298.48+8419.85</f>
        <v>321624.93999999994</v>
      </c>
      <c r="G518" s="18">
        <f>90438.98+32582.02+3500+1058.99+1419.41+3485.97</f>
        <v>132485.37</v>
      </c>
      <c r="H518" s="18">
        <f>129859.37+222430.16+44633.09</f>
        <v>396922.62</v>
      </c>
      <c r="I518" s="18"/>
      <c r="J518" s="18"/>
      <c r="K518" s="18"/>
      <c r="L518" s="88">
        <f>SUM(F518:K518)</f>
        <v>851032.92999999993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2546772.27</v>
      </c>
      <c r="G519" s="89">
        <f t="shared" ref="G519:L519" si="36">SUM(G516:G518)</f>
        <v>1050982.68</v>
      </c>
      <c r="H519" s="89">
        <f t="shared" si="36"/>
        <v>1522342.81</v>
      </c>
      <c r="I519" s="89">
        <f t="shared" si="36"/>
        <v>1484.88</v>
      </c>
      <c r="J519" s="89">
        <f t="shared" si="36"/>
        <v>0</v>
      </c>
      <c r="K519" s="89">
        <f t="shared" si="36"/>
        <v>0</v>
      </c>
      <c r="L519" s="89">
        <f t="shared" si="36"/>
        <v>5121582.6399999997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37971.83</f>
        <v>37971.83</v>
      </c>
      <c r="G521" s="18">
        <f>12135.4</f>
        <v>12135.4</v>
      </c>
      <c r="H521" s="18">
        <f>72.77+526.19</f>
        <v>598.96</v>
      </c>
      <c r="I521" s="18"/>
      <c r="J521" s="18"/>
      <c r="K521" s="18"/>
      <c r="L521" s="88">
        <f>SUM(F521:K521)</f>
        <v>50706.19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23868.01</f>
        <v>23868.01</v>
      </c>
      <c r="G522" s="18">
        <f>7627.97</f>
        <v>7627.97</v>
      </c>
      <c r="H522" s="18">
        <f>45.74+1588.75</f>
        <v>1634.49</v>
      </c>
      <c r="I522" s="18"/>
      <c r="J522" s="18"/>
      <c r="K522" s="18"/>
      <c r="L522" s="88">
        <f>SUM(F522:K522)</f>
        <v>33130.47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46651.1</f>
        <v>46651.1</v>
      </c>
      <c r="G523" s="18">
        <f>14909.21</f>
        <v>14909.21</v>
      </c>
      <c r="H523" s="18">
        <f>89.4</f>
        <v>89.4</v>
      </c>
      <c r="I523" s="18"/>
      <c r="J523" s="18"/>
      <c r="K523" s="18"/>
      <c r="L523" s="88">
        <f>SUM(F523:K523)</f>
        <v>61649.71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108490.94</v>
      </c>
      <c r="G524" s="89">
        <f t="shared" ref="G524:L524" si="37">SUM(G521:G523)</f>
        <v>34672.58</v>
      </c>
      <c r="H524" s="89">
        <f t="shared" si="37"/>
        <v>2322.85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145486.37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f>13078.42</f>
        <v>13078.42</v>
      </c>
      <c r="I526" s="18"/>
      <c r="J526" s="18"/>
      <c r="K526" s="18"/>
      <c r="L526" s="88">
        <f>SUM(F526:K526)</f>
        <v>13078.42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8220.7199999999993</v>
      </c>
      <c r="I527" s="18"/>
      <c r="J527" s="18"/>
      <c r="K527" s="18"/>
      <c r="L527" s="88">
        <f>SUM(F527:K527)</f>
        <v>8220.7199999999993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f>16067.78</f>
        <v>16067.78</v>
      </c>
      <c r="I528" s="18"/>
      <c r="J528" s="18"/>
      <c r="K528" s="18"/>
      <c r="L528" s="88">
        <f>SUM(F528:K528)</f>
        <v>16067.78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37366.92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37366.92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1188208.2</v>
      </c>
      <c r="I531" s="18"/>
      <c r="J531" s="18"/>
      <c r="K531" s="18"/>
      <c r="L531" s="88">
        <f>SUM(F531:K531)</f>
        <v>1188208.2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714713.12</v>
      </c>
      <c r="I532" s="18"/>
      <c r="J532" s="18"/>
      <c r="K532" s="18"/>
      <c r="L532" s="88">
        <f>SUM(F532:K532)</f>
        <v>714713.12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681207.9</v>
      </c>
      <c r="I533" s="18"/>
      <c r="J533" s="18"/>
      <c r="K533" s="18"/>
      <c r="L533" s="88">
        <f>SUM(F533:K533)</f>
        <v>681207.9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2584129.2199999997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2584129.2199999997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19264053.930000003</v>
      </c>
      <c r="G535" s="89">
        <f t="shared" ref="G535:L535" si="40">G514+G519+G524+G529+G534</f>
        <v>10689426.939999999</v>
      </c>
      <c r="H535" s="89">
        <f t="shared" si="40"/>
        <v>10546878.009999998</v>
      </c>
      <c r="I535" s="89">
        <f t="shared" si="40"/>
        <v>309077.44</v>
      </c>
      <c r="J535" s="89">
        <f t="shared" si="40"/>
        <v>64194.96</v>
      </c>
      <c r="K535" s="89">
        <f t="shared" si="40"/>
        <v>3700.49</v>
      </c>
      <c r="L535" s="89">
        <f t="shared" si="40"/>
        <v>40877331.769999996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14848820.670000002</v>
      </c>
      <c r="G539" s="87">
        <f>L516</f>
        <v>3368218.83</v>
      </c>
      <c r="H539" s="87">
        <f>L521</f>
        <v>50706.19</v>
      </c>
      <c r="I539" s="87">
        <f>L526</f>
        <v>13078.42</v>
      </c>
      <c r="J539" s="87">
        <f>L531</f>
        <v>1188208.2</v>
      </c>
      <c r="K539" s="87">
        <f>SUM(F539:J539)</f>
        <v>19469032.310000002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8132885.0099999998</v>
      </c>
      <c r="G540" s="87">
        <f>L517</f>
        <v>902330.87999999989</v>
      </c>
      <c r="H540" s="87">
        <f>L522</f>
        <v>33130.47</v>
      </c>
      <c r="I540" s="87">
        <f>L527</f>
        <v>8220.7199999999993</v>
      </c>
      <c r="J540" s="87">
        <f>L532</f>
        <v>714713.12</v>
      </c>
      <c r="K540" s="87">
        <f>SUM(F540:J540)</f>
        <v>9791280.2000000011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10007060.939999999</v>
      </c>
      <c r="G541" s="87">
        <f>L518</f>
        <v>851032.92999999993</v>
      </c>
      <c r="H541" s="87">
        <f>L523</f>
        <v>61649.71</v>
      </c>
      <c r="I541" s="87">
        <f>L528</f>
        <v>16067.78</v>
      </c>
      <c r="J541" s="87">
        <f>L533</f>
        <v>681207.9</v>
      </c>
      <c r="K541" s="87">
        <f>SUM(F541:J541)</f>
        <v>11617019.26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32988766.619999997</v>
      </c>
      <c r="G542" s="89">
        <f t="shared" si="41"/>
        <v>5121582.6399999997</v>
      </c>
      <c r="H542" s="89">
        <f t="shared" si="41"/>
        <v>145486.37</v>
      </c>
      <c r="I542" s="89">
        <f t="shared" si="41"/>
        <v>37366.92</v>
      </c>
      <c r="J542" s="89">
        <f t="shared" si="41"/>
        <v>2584129.2199999997</v>
      </c>
      <c r="K542" s="89">
        <f t="shared" si="41"/>
        <v>40877331.770000003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f>595756.58+4007813.87</f>
        <v>4603570.45</v>
      </c>
      <c r="G547" s="18">
        <f>241867.95+1442838.68</f>
        <v>1684706.63</v>
      </c>
      <c r="H547" s="18">
        <f>1415172.31+290848.05+253.22+390+4497.21</f>
        <v>1711160.79</v>
      </c>
      <c r="I547" s="18">
        <f>136662.67+132032.88+98146.9</f>
        <v>366842.45000000007</v>
      </c>
      <c r="J547" s="18">
        <f>22237.46+19245.29</f>
        <v>41482.75</v>
      </c>
      <c r="K547" s="18">
        <f>4229.98+5936.98</f>
        <v>10166.959999999999</v>
      </c>
      <c r="L547" s="88">
        <f>SUM(F547:K547)</f>
        <v>8417930.0300000012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>
        <f>6582.87+38069.66</f>
        <v>44652.530000000006</v>
      </c>
      <c r="G548" s="18">
        <f>2672.54+28250.06</f>
        <v>30922.600000000002</v>
      </c>
      <c r="H548" s="18">
        <f>15637.08</f>
        <v>15637.08</v>
      </c>
      <c r="I548" s="18">
        <v>1510.07</v>
      </c>
      <c r="J548" s="18">
        <v>245.71</v>
      </c>
      <c r="K548" s="18">
        <f>46.74</f>
        <v>46.74</v>
      </c>
      <c r="L548" s="88">
        <f>SUM(F548:K548)</f>
        <v>93014.730000000025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>
        <f>50227.91+381590.42</f>
        <v>431818.32999999996</v>
      </c>
      <c r="G549" s="18">
        <f>20391.76+124435.21</f>
        <v>144826.97</v>
      </c>
      <c r="H549" s="18">
        <f>119312.41</f>
        <v>119312.41</v>
      </c>
      <c r="I549" s="18">
        <f>11521.96</f>
        <v>11521.96</v>
      </c>
      <c r="J549" s="18">
        <f>1874.83</f>
        <v>1874.83</v>
      </c>
      <c r="K549" s="18">
        <f>356.63</f>
        <v>356.63</v>
      </c>
      <c r="L549" s="88">
        <f>SUM(F549:K549)</f>
        <v>709711.12999999989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5080041.3100000005</v>
      </c>
      <c r="G550" s="108">
        <f t="shared" si="42"/>
        <v>1860456.2</v>
      </c>
      <c r="H550" s="108">
        <f t="shared" si="42"/>
        <v>1846110.28</v>
      </c>
      <c r="I550" s="108">
        <f t="shared" si="42"/>
        <v>379874.4800000001</v>
      </c>
      <c r="J550" s="108">
        <f t="shared" si="42"/>
        <v>43603.29</v>
      </c>
      <c r="K550" s="108">
        <f t="shared" si="42"/>
        <v>10570.329999999998</v>
      </c>
      <c r="L550" s="89">
        <f t="shared" si="42"/>
        <v>9220655.8900000006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f>27413.38+1423519.12</f>
        <v>1450932.5</v>
      </c>
      <c r="G552" s="18">
        <f>19058.2+661629.05</f>
        <v>680687.25</v>
      </c>
      <c r="H552" s="18">
        <f>22291.22+517.5+2.81</f>
        <v>22811.530000000002</v>
      </c>
      <c r="I552" s="18">
        <f>14978.9+149.52</f>
        <v>15128.42</v>
      </c>
      <c r="J552" s="18">
        <f>70.15</f>
        <v>70.150000000000006</v>
      </c>
      <c r="K552" s="18">
        <f>2767.19</f>
        <v>2767.19</v>
      </c>
      <c r="L552" s="88">
        <f>SUM(F552:K552)</f>
        <v>2172397.0399999996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f>10557+548823.47</f>
        <v>559380.47</v>
      </c>
      <c r="G553" s="18">
        <f>7339.39+254050.67</f>
        <v>261390.06000000003</v>
      </c>
      <c r="H553" s="18">
        <f>8584.44+382.5</f>
        <v>8966.94</v>
      </c>
      <c r="I553" s="18">
        <f>5768.43</f>
        <v>5768.43</v>
      </c>
      <c r="J553" s="18">
        <f>27.02</f>
        <v>27.02</v>
      </c>
      <c r="K553" s="18">
        <f>1065.64</f>
        <v>1065.6400000000001</v>
      </c>
      <c r="L553" s="88">
        <f>SUM(F553:K553)</f>
        <v>836598.56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f>13134.29+698290.99</f>
        <v>711425.28</v>
      </c>
      <c r="G554" s="18">
        <f>9131.16+293936.77</f>
        <v>303067.93</v>
      </c>
      <c r="H554" s="18">
        <f>10680.16</f>
        <v>10680.16</v>
      </c>
      <c r="I554" s="18">
        <f>7176.69+1745.86+5382.76</f>
        <v>14305.31</v>
      </c>
      <c r="J554" s="18">
        <f>33.61</f>
        <v>33.61</v>
      </c>
      <c r="K554" s="18">
        <f>1325.81</f>
        <v>1325.81</v>
      </c>
      <c r="L554" s="88">
        <f>SUM(F554:K554)</f>
        <v>1040838.1000000001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2721738.25</v>
      </c>
      <c r="G555" s="89">
        <f t="shared" si="43"/>
        <v>1245145.24</v>
      </c>
      <c r="H555" s="89">
        <f t="shared" si="43"/>
        <v>42458.630000000005</v>
      </c>
      <c r="I555" s="89">
        <f t="shared" si="43"/>
        <v>35202.159999999996</v>
      </c>
      <c r="J555" s="89">
        <f t="shared" si="43"/>
        <v>130.78</v>
      </c>
      <c r="K555" s="89">
        <f t="shared" si="43"/>
        <v>5158.6399999999994</v>
      </c>
      <c r="L555" s="89">
        <f t="shared" si="43"/>
        <v>4049833.6999999997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4847.4799999999996</v>
      </c>
      <c r="G557" s="18">
        <v>1680.7</v>
      </c>
      <c r="H557" s="18"/>
      <c r="I557" s="18"/>
      <c r="J557" s="18"/>
      <c r="K557" s="18"/>
      <c r="L557" s="88">
        <f>SUM(F557:K557)</f>
        <v>6528.1799999999994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4847.4799999999996</v>
      </c>
      <c r="G560" s="194">
        <f t="shared" ref="G560:L560" si="44">SUM(G557:G559)</f>
        <v>1680.7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6528.1799999999994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7806627.040000001</v>
      </c>
      <c r="G561" s="89">
        <f t="shared" ref="G561:L561" si="45">G550+G555+G560</f>
        <v>3107282.14</v>
      </c>
      <c r="H561" s="89">
        <f t="shared" si="45"/>
        <v>1888568.9100000001</v>
      </c>
      <c r="I561" s="89">
        <f t="shared" si="45"/>
        <v>415076.64000000007</v>
      </c>
      <c r="J561" s="89">
        <f t="shared" si="45"/>
        <v>43734.07</v>
      </c>
      <c r="K561" s="89">
        <f t="shared" si="45"/>
        <v>15728.969999999998</v>
      </c>
      <c r="L561" s="89">
        <f t="shared" si="45"/>
        <v>13277017.77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f>25000+125892.27</f>
        <v>150892.27000000002</v>
      </c>
      <c r="G569" s="18">
        <v>68997.31</v>
      </c>
      <c r="H569" s="18">
        <v>125773.4</v>
      </c>
      <c r="I569" s="87">
        <f t="shared" si="46"/>
        <v>345662.98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353360.39</v>
      </c>
      <c r="G572" s="18">
        <v>607243.54</v>
      </c>
      <c r="H572" s="18">
        <v>1724004.44</v>
      </c>
      <c r="I572" s="87">
        <f t="shared" si="46"/>
        <v>2684608.37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687641.98</v>
      </c>
      <c r="G573" s="18">
        <v>455390.8</v>
      </c>
      <c r="H573" s="18">
        <v>1401553.69</v>
      </c>
      <c r="I573" s="87">
        <f t="shared" si="46"/>
        <v>2544586.4699999997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18110.74+7591.69+933.29+928626.08</f>
        <v>955261.79999999993</v>
      </c>
      <c r="I581" s="18">
        <f>17890.03+7499.17+721.97+917305.31</f>
        <v>943416.4800000001</v>
      </c>
      <c r="J581" s="18">
        <f>5174.03+2168.86+415.5+265299.31</f>
        <v>273057.7</v>
      </c>
      <c r="K581" s="104">
        <f t="shared" ref="K581:K587" si="47">SUM(H581:J581)</f>
        <v>2171735.98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22549.19+9452.2+1156206.73</f>
        <v>1188208.1199999999</v>
      </c>
      <c r="I582" s="18">
        <f>13563.5+5685.57+695464.05</f>
        <v>714713.12</v>
      </c>
      <c r="J582" s="18">
        <f>12927.53+5418.99+662861.38</f>
        <v>681207.9</v>
      </c>
      <c r="K582" s="104">
        <f t="shared" si="47"/>
        <v>2584129.1399999997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8480.35</v>
      </c>
      <c r="J584" s="18">
        <v>92155.55</v>
      </c>
      <c r="K584" s="104">
        <f t="shared" si="47"/>
        <v>100635.90000000001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595</v>
      </c>
      <c r="I585" s="18">
        <f>1924+58.3</f>
        <v>1982.3</v>
      </c>
      <c r="J585" s="18">
        <f>3077.75+3694.45</f>
        <v>6772.2</v>
      </c>
      <c r="K585" s="104">
        <f t="shared" si="47"/>
        <v>9349.5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2144064.92</v>
      </c>
      <c r="I588" s="108">
        <f>SUM(I581:I587)</f>
        <v>1668592.2500000002</v>
      </c>
      <c r="J588" s="108">
        <f>SUM(J581:J587)</f>
        <v>1053193.3500000001</v>
      </c>
      <c r="K588" s="108">
        <f>SUM(K581:K587)</f>
        <v>4865850.5199999996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v>57733.42</v>
      </c>
      <c r="I593" s="18">
        <v>36289.58</v>
      </c>
      <c r="J593" s="18">
        <v>70929.63</v>
      </c>
      <c r="K593" s="104">
        <f>SUM(H593:J593)</f>
        <v>164952.63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245964.59-0.01</f>
        <v>245964.58</v>
      </c>
      <c r="I594" s="18">
        <v>154606.31</v>
      </c>
      <c r="J594" s="18">
        <v>302185.07</v>
      </c>
      <c r="K594" s="104">
        <f>SUM(H594:J594)</f>
        <v>702755.96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303698</v>
      </c>
      <c r="I595" s="108">
        <f>SUM(I592:I594)</f>
        <v>190895.89</v>
      </c>
      <c r="J595" s="108">
        <f>SUM(J592:J594)</f>
        <v>373114.7</v>
      </c>
      <c r="K595" s="108">
        <f>SUM(K592:K594)</f>
        <v>867708.59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91815.97+6156.34+219.96+9747.26</f>
        <v>107939.53</v>
      </c>
      <c r="G601" s="18">
        <f>15074.92+849.67+56.64+1220.03</f>
        <v>17201.259999999998</v>
      </c>
      <c r="H601" s="18">
        <f>6646.63+29678.21+1071.57</f>
        <v>37396.409999999996</v>
      </c>
      <c r="I601" s="18">
        <v>237.38</v>
      </c>
      <c r="J601" s="18"/>
      <c r="K601" s="18"/>
      <c r="L601" s="88">
        <f>SUM(F601:K601)</f>
        <v>162774.57999999999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f>48954.72+3188.1+9396.44</f>
        <v>61539.26</v>
      </c>
      <c r="G602" s="18">
        <f>7999.7+440.01+1376.69</f>
        <v>9816.4</v>
      </c>
      <c r="H602" s="18">
        <f>3047.15+15369.07+371.25+3.57</f>
        <v>18791.04</v>
      </c>
      <c r="I602" s="18">
        <v>339.36</v>
      </c>
      <c r="J602" s="18"/>
      <c r="K602" s="18"/>
      <c r="L602" s="88">
        <f>SUM(F602:K602)</f>
        <v>90486.060000000012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f>4486.88+1649.02+19077.63</f>
        <v>25213.53</v>
      </c>
      <c r="G603" s="18">
        <f>826.49+227.59+2795.1</f>
        <v>3849.18</v>
      </c>
      <c r="H603" s="18">
        <f>24012.3+753.75+7.25+7949.52</f>
        <v>32722.82</v>
      </c>
      <c r="I603" s="18">
        <f>982.81+688.99</f>
        <v>1671.8</v>
      </c>
      <c r="J603" s="18"/>
      <c r="K603" s="18"/>
      <c r="L603" s="88">
        <f>SUM(F603:K603)</f>
        <v>63457.33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194692.32</v>
      </c>
      <c r="G604" s="108">
        <f t="shared" si="48"/>
        <v>30866.839999999997</v>
      </c>
      <c r="H604" s="108">
        <f t="shared" si="48"/>
        <v>88910.26999999999</v>
      </c>
      <c r="I604" s="108">
        <f t="shared" si="48"/>
        <v>2248.54</v>
      </c>
      <c r="J604" s="108">
        <f t="shared" si="48"/>
        <v>0</v>
      </c>
      <c r="K604" s="108">
        <f t="shared" si="48"/>
        <v>0</v>
      </c>
      <c r="L604" s="89">
        <f t="shared" si="48"/>
        <v>316717.97000000003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40990836.739999995</v>
      </c>
      <c r="H607" s="109">
        <f>SUM(F44)</f>
        <v>40990836.740000002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1034245.2300000001</v>
      </c>
      <c r="H608" s="109">
        <f>SUM(G44)</f>
        <v>1034245.23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6760803.5300000003</v>
      </c>
      <c r="H609" s="109">
        <f>SUM(H44)</f>
        <v>6760803.5299999993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2046250.7</v>
      </c>
      <c r="H611" s="109">
        <f>SUM(J44)</f>
        <v>2046250.7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5174046.6399999997</v>
      </c>
      <c r="H612" s="109">
        <f>F466</f>
        <v>5174046.6399999857</v>
      </c>
      <c r="I612" s="121" t="s">
        <v>106</v>
      </c>
      <c r="J612" s="109">
        <f t="shared" ref="J612:J645" si="49">G612-H612</f>
        <v>1.3969838619232178E-8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869107.28</v>
      </c>
      <c r="H613" s="109">
        <f>G466</f>
        <v>869107.28000000026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612866.43999999994</v>
      </c>
      <c r="H614" s="109">
        <f>H466</f>
        <v>612866.43999999762</v>
      </c>
      <c r="I614" s="121" t="s">
        <v>110</v>
      </c>
      <c r="J614" s="109">
        <f t="shared" si="49"/>
        <v>2.3283064365386963E-9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2046250.7</v>
      </c>
      <c r="H616" s="109">
        <f>J466</f>
        <v>2046250.7000000002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148113550.53999999</v>
      </c>
      <c r="H617" s="104">
        <f>SUM(F458)</f>
        <v>148113550.53999999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5447135.6600000001</v>
      </c>
      <c r="H618" s="104">
        <f>SUM(G458)</f>
        <v>5447135.6600000001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26012957.490000002</v>
      </c>
      <c r="H619" s="104">
        <f>SUM(H458)</f>
        <v>26012957.489999998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1956288.4</v>
      </c>
      <c r="H621" s="104">
        <f>SUM(J458)</f>
        <v>1956288.4000000001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144166326.35000002</v>
      </c>
      <c r="H622" s="104">
        <f>SUM(F462)</f>
        <v>144166326.34999999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25979240.670000002</v>
      </c>
      <c r="H623" s="104">
        <f>SUM(H462)</f>
        <v>25979240.670000002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2349267.94</v>
      </c>
      <c r="H624" s="104">
        <f>I361</f>
        <v>2349267.94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5161154.6399999997</v>
      </c>
      <c r="H625" s="104">
        <f>SUM(G462)</f>
        <v>5161154.6399999997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1956288.3999999997</v>
      </c>
      <c r="H627" s="164">
        <f>SUM(J458)</f>
        <v>1956288.4000000001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2046250.7</v>
      </c>
      <c r="H630" s="104">
        <f>SUM(G451)</f>
        <v>2046250.7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2046250.7</v>
      </c>
      <c r="H632" s="104">
        <f>SUM(I451)</f>
        <v>2046250.7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43045.13</v>
      </c>
      <c r="H634" s="104">
        <f>H400</f>
        <v>43045.130000000005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1913243.27</v>
      </c>
      <c r="H635" s="104">
        <f>G400</f>
        <v>1913243.27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1956288.4</v>
      </c>
      <c r="H636" s="104">
        <f>L400</f>
        <v>1956288.3999999997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4865850.5199999996</v>
      </c>
      <c r="H637" s="104">
        <f>L200+L218+L236</f>
        <v>4865850.5199999996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867708.59</v>
      </c>
      <c r="H638" s="104">
        <f>(J249+J330)-(J247+J328)</f>
        <v>867708.59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2144064.92</v>
      </c>
      <c r="H639" s="104">
        <f>H588</f>
        <v>2144064.92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1668592.25</v>
      </c>
      <c r="H640" s="104">
        <f>I588</f>
        <v>1668592.2500000002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1053193.3500000001</v>
      </c>
      <c r="H641" s="104">
        <f>J588</f>
        <v>1053193.3500000001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1913243.27</v>
      </c>
      <c r="H645" s="104">
        <f>K258+K339</f>
        <v>1913243.27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68680210.74000001</v>
      </c>
      <c r="G650" s="19">
        <f>(L221+L301+L351)</f>
        <v>35129240.289999999</v>
      </c>
      <c r="H650" s="19">
        <f>(L239+L320+L352)</f>
        <v>56520252.710000008</v>
      </c>
      <c r="I650" s="19">
        <f>SUM(F650:H650)</f>
        <v>160329703.74000001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620859.91037395783</v>
      </c>
      <c r="G651" s="19">
        <f>(L351/IF(SUM(L350:L352)=0,1,SUM(L350:L352))*(SUM(G89:G102)))</f>
        <v>560663.97034441493</v>
      </c>
      <c r="H651" s="19">
        <f>(L352/IF(SUM(L350:L352)=0,1,SUM(L350:L352))*(SUM(G89:G102)))</f>
        <v>720980.44928162743</v>
      </c>
      <c r="I651" s="19">
        <f>SUM(F651:H651)</f>
        <v>1902504.33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2144064.92</v>
      </c>
      <c r="G652" s="19">
        <f>(L218+L298)-(J218+J298)</f>
        <v>1668592.25</v>
      </c>
      <c r="H652" s="19">
        <f>(L236+L317)-(J236+J317)</f>
        <v>1064104.6499999999</v>
      </c>
      <c r="I652" s="19">
        <f>SUM(F652:H652)</f>
        <v>4876761.82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1658367.2200000002</v>
      </c>
      <c r="G653" s="200">
        <f>SUM(G565:G577)+SUM(I592:I594)+L602</f>
        <v>1413013.6</v>
      </c>
      <c r="H653" s="200">
        <f>SUM(H565:H577)+SUM(J592:J594)+L603</f>
        <v>3687903.56</v>
      </c>
      <c r="I653" s="19">
        <f>SUM(F653:H653)</f>
        <v>6759284.3800000008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64256918.689626053</v>
      </c>
      <c r="G654" s="19">
        <f>G650-SUM(G651:G653)</f>
        <v>31486970.469655585</v>
      </c>
      <c r="H654" s="19">
        <f>H650-SUM(H651:H653)</f>
        <v>51047264.050718382</v>
      </c>
      <c r="I654" s="19">
        <f>I650-SUM(I651:I653)</f>
        <v>146791153.21000001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6456.36</v>
      </c>
      <c r="G655" s="249">
        <v>3358.71</v>
      </c>
      <c r="H655" s="249">
        <v>5603.1</v>
      </c>
      <c r="I655" s="19">
        <f>SUM(F655:H655)</f>
        <v>15418.17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9952.5</v>
      </c>
      <c r="G657" s="19">
        <f>ROUND(G654/G655,2)</f>
        <v>9374.7199999999993</v>
      </c>
      <c r="H657" s="19">
        <f>ROUND(H654/H655,2)</f>
        <v>9110.5400000000009</v>
      </c>
      <c r="I657" s="19">
        <f>ROUND(I654/I655,2)</f>
        <v>9520.66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100.33</v>
      </c>
      <c r="I660" s="19">
        <f>SUM(F660:H660)</f>
        <v>100.33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9952.5</v>
      </c>
      <c r="G662" s="19">
        <f>ROUND((G654+G659)/(G655+G660),2)</f>
        <v>9374.7199999999993</v>
      </c>
      <c r="H662" s="19">
        <f>ROUND((H654+H659)/(H655+H660),2)</f>
        <v>8950.27</v>
      </c>
      <c r="I662" s="19">
        <f>ROUND((I654+I659)/(I655+I660),2)</f>
        <v>9459.11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805A-D8A0-436F-8A77-048CBEDEA798}">
  <sheetPr codeName="Sheet2">
    <tabColor indexed="20"/>
  </sheetPr>
  <dimension ref="A1:C52"/>
  <sheetViews>
    <sheetView workbookViewId="0">
      <selection activeCell="B10" sqref="B10: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MANCHESTER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43902789.880000003</v>
      </c>
      <c r="C9" s="230">
        <f>'DOE25'!G189+'DOE25'!G207+'DOE25'!G225+'DOE25'!G268+'DOE25'!G287+'DOE25'!G306</f>
        <v>15204568.15</v>
      </c>
    </row>
    <row r="10" spans="1:3" x14ac:dyDescent="0.2">
      <c r="A10" t="s">
        <v>813</v>
      </c>
      <c r="B10" s="241">
        <v>41705227.159999996</v>
      </c>
      <c r="C10" s="241">
        <v>14443500.522373887</v>
      </c>
    </row>
    <row r="11" spans="1:3" x14ac:dyDescent="0.2">
      <c r="A11" t="s">
        <v>814</v>
      </c>
      <c r="B11" s="241">
        <v>135301.82999999999</v>
      </c>
      <c r="C11" s="241">
        <v>46858.204243459222</v>
      </c>
    </row>
    <row r="12" spans="1:3" x14ac:dyDescent="0.2">
      <c r="A12" t="s">
        <v>815</v>
      </c>
      <c r="B12" s="241">
        <v>2062260.89</v>
      </c>
      <c r="C12" s="241">
        <v>714209.4233826549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43902789.879999995</v>
      </c>
      <c r="C13" s="232">
        <f>SUM(C10:C12)</f>
        <v>15204568.15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23754694.549999997</v>
      </c>
      <c r="C18" s="230">
        <f>'DOE25'!G190+'DOE25'!G208+'DOE25'!G226+'DOE25'!G269+'DOE25'!G288+'DOE25'!G307</f>
        <v>12301770.98</v>
      </c>
    </row>
    <row r="19" spans="1:3" x14ac:dyDescent="0.2">
      <c r="A19" t="s">
        <v>813</v>
      </c>
      <c r="B19" s="241">
        <f>7312835.69+123901.74+1345813.66+1242597.67+4336220.52+2449387.57+477968.03+177366.16+37052.8+8395+37052.8+40559.2+38304.7+37052.8-470037.72</f>
        <v>17194470.620000001</v>
      </c>
      <c r="C19" s="241">
        <f>B$19/B$22*C18</f>
        <v>8904447.8868947867</v>
      </c>
    </row>
    <row r="20" spans="1:3" x14ac:dyDescent="0.2">
      <c r="A20" t="s">
        <v>814</v>
      </c>
      <c r="B20" s="241">
        <f>4073336.22+171447.23+182139.18+85130.31+211578.53+31757.59+-673.63+87.06</f>
        <v>4754802.4899999993</v>
      </c>
      <c r="C20" s="241">
        <f>B$20/B$22*C18</f>
        <v>2462355.0163524933</v>
      </c>
    </row>
    <row r="21" spans="1:3" x14ac:dyDescent="0.2">
      <c r="A21" t="s">
        <v>815</v>
      </c>
      <c r="B21" s="241">
        <f>35045.87+1076.08+1076.08+149574.46+9180.28+375182.52+166560.6+67750.13+61491.27+261932.58+30264.65+111462.27+75+163438.01+26607.06+50257.92+10597.53+53488.48+228525.97+380.45+122.07+735.26+386.77+210.13</f>
        <v>1805421.44</v>
      </c>
      <c r="C21" s="241">
        <f>B$21/B$22*C18</f>
        <v>934968.07675271959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23754694.550000001</v>
      </c>
      <c r="C22" s="232">
        <f>SUM(C19:C21)</f>
        <v>12301770.98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3215163.38</v>
      </c>
      <c r="C27" s="235">
        <f>'DOE25'!G191+'DOE25'!G209+'DOE25'!G227+'DOE25'!G270+'DOE25'!G289+'DOE25'!G308</f>
        <v>1326292.68</v>
      </c>
    </row>
    <row r="28" spans="1:3" x14ac:dyDescent="0.2">
      <c r="A28" t="s">
        <v>813</v>
      </c>
      <c r="B28" s="241">
        <f>126961.54+321681.75+460522.2+362843.89+556939.98+720677.12+588559.65+37052.8+6080.55</f>
        <v>3181319.4799999995</v>
      </c>
      <c r="C28" s="241">
        <f>B28/B31*C27</f>
        <v>1312331.6735043824</v>
      </c>
    </row>
    <row r="29" spans="1:3" x14ac:dyDescent="0.2">
      <c r="A29" t="s">
        <v>814</v>
      </c>
      <c r="B29" s="241">
        <v>25029.42</v>
      </c>
      <c r="C29" s="241">
        <f>B29/B31*C27</f>
        <v>10324.929904696042</v>
      </c>
    </row>
    <row r="30" spans="1:3" x14ac:dyDescent="0.2">
      <c r="A30" t="s">
        <v>815</v>
      </c>
      <c r="B30" s="241">
        <v>8814.48</v>
      </c>
      <c r="C30" s="241">
        <f>B30/B31*C27</f>
        <v>3636.0765909216102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3215163.3799999994</v>
      </c>
      <c r="C31" s="232">
        <f>SUM(C28:C30)</f>
        <v>1326292.68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1792371.24</v>
      </c>
      <c r="C36" s="236">
        <f>'DOE25'!G192+'DOE25'!G210+'DOE25'!G228+'DOE25'!G271+'DOE25'!G290+'DOE25'!G309</f>
        <v>349817.77</v>
      </c>
    </row>
    <row r="37" spans="1:3" x14ac:dyDescent="0.2">
      <c r="A37" t="s">
        <v>813</v>
      </c>
      <c r="B37" s="241">
        <f>236057.9+603029.01+25437.5+14393.38</f>
        <v>878917.79</v>
      </c>
      <c r="C37" s="241">
        <f>B37/B40*C36</f>
        <v>171538.71611504341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f>592849.73+3710.2+8097.48+975+43598.5+237443.81+49.73+1206+25523</f>
        <v>913453.45</v>
      </c>
      <c r="C39" s="241">
        <f>B39/B40*C36</f>
        <v>178279.05388495661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1792371.24</v>
      </c>
      <c r="C40" s="232">
        <f>SUM(C37:C39)</f>
        <v>349817.77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CC59C-783D-4013-AA21-3293416DE39C}">
  <sheetPr codeName="Sheet3">
    <tabColor indexed="11"/>
  </sheetPr>
  <dimension ref="A1:I51"/>
  <sheetViews>
    <sheetView workbookViewId="0">
      <pane ySplit="4" topLeftCell="A20" activePane="bottomLeft" state="frozen"/>
      <selection pane="bottomLeft" activeCell="D29" sqref="D2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MANCHESTER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91728657.620000005</v>
      </c>
      <c r="D5" s="20">
        <f>SUM('DOE25'!L189:L192)+SUM('DOE25'!L207:L210)+SUM('DOE25'!L225:L228)-F5-G5</f>
        <v>91546915.450000003</v>
      </c>
      <c r="E5" s="244"/>
      <c r="F5" s="256">
        <f>SUM('DOE25'!J189:J192)+SUM('DOE25'!J207:J210)+SUM('DOE25'!J225:J228)</f>
        <v>24737.93</v>
      </c>
      <c r="G5" s="53">
        <f>SUM('DOE25'!K189:K192)+SUM('DOE25'!K207:K210)+SUM('DOE25'!K225:K228)</f>
        <v>157004.24000000002</v>
      </c>
      <c r="H5" s="260"/>
    </row>
    <row r="6" spans="1:9" x14ac:dyDescent="0.2">
      <c r="A6" s="32">
        <v>2100</v>
      </c>
      <c r="B6" t="s">
        <v>835</v>
      </c>
      <c r="C6" s="246">
        <f t="shared" si="0"/>
        <v>9453211.4699999988</v>
      </c>
      <c r="D6" s="20">
        <f>'DOE25'!L194+'DOE25'!L212+'DOE25'!L230-F6-G6</f>
        <v>9453211.4699999988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1944573.25</v>
      </c>
      <c r="D7" s="20">
        <f>'DOE25'!L195+'DOE25'!L213+'DOE25'!L231-F7-G7</f>
        <v>1944573.25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435432.32</v>
      </c>
      <c r="D8" s="244"/>
      <c r="E8" s="20">
        <f>'DOE25'!L196+'DOE25'!L214+'DOE25'!L232-F8-G8-D9-D11</f>
        <v>423976.26</v>
      </c>
      <c r="F8" s="256">
        <f>'DOE25'!J196+'DOE25'!J214+'DOE25'!J232</f>
        <v>0</v>
      </c>
      <c r="G8" s="53">
        <f>'DOE25'!K196+'DOE25'!K214+'DOE25'!K232</f>
        <v>11456.06</v>
      </c>
      <c r="H8" s="260"/>
    </row>
    <row r="9" spans="1:9" x14ac:dyDescent="0.2">
      <c r="A9" s="32">
        <v>2310</v>
      </c>
      <c r="B9" t="s">
        <v>852</v>
      </c>
      <c r="C9" s="246">
        <f t="shared" si="0"/>
        <v>164585.81</v>
      </c>
      <c r="D9" s="245">
        <v>164585.81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85883</v>
      </c>
      <c r="D10" s="244"/>
      <c r="E10" s="245">
        <v>85883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438173.52</v>
      </c>
      <c r="D11" s="245">
        <v>438173.52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7857810.9400000013</v>
      </c>
      <c r="D12" s="20">
        <f>'DOE25'!L197+'DOE25'!L215+'DOE25'!L233-F12-G12</f>
        <v>7818200.1100000013</v>
      </c>
      <c r="E12" s="244"/>
      <c r="F12" s="256">
        <f>'DOE25'!J197+'DOE25'!J215+'DOE25'!J233</f>
        <v>1701</v>
      </c>
      <c r="G12" s="53">
        <f>'DOE25'!K197+'DOE25'!K215+'DOE25'!K233</f>
        <v>37909.83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1489606.67</v>
      </c>
      <c r="D13" s="244"/>
      <c r="E13" s="20">
        <f>'DOE25'!L198+'DOE25'!L216+'DOE25'!L234-F13-G13</f>
        <v>1489606.67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9958379.3300000019</v>
      </c>
      <c r="D14" s="20">
        <f>'DOE25'!L199+'DOE25'!L217+'DOE25'!L235-F14-G14</f>
        <v>9973935.6900000013</v>
      </c>
      <c r="E14" s="244"/>
      <c r="F14" s="256">
        <f>'DOE25'!J199+'DOE25'!J217+'DOE25'!J235</f>
        <v>6417</v>
      </c>
      <c r="G14" s="53">
        <f>'DOE25'!K199+'DOE25'!K217+'DOE25'!K235</f>
        <v>-21973.359999999997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4865850.5199999996</v>
      </c>
      <c r="D15" s="20">
        <f>'DOE25'!L200+'DOE25'!L218+'DOE25'!L236-F15-G15</f>
        <v>4865850.5199999996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1614449.96</v>
      </c>
      <c r="D16" s="244"/>
      <c r="E16" s="20">
        <f>'DOE25'!L201+'DOE25'!L219+'DOE25'!L237-F16-G16</f>
        <v>1573408.55</v>
      </c>
      <c r="F16" s="256">
        <f>'DOE25'!J201+'DOE25'!J219+'DOE25'!J237</f>
        <v>40499.229999999996</v>
      </c>
      <c r="G16" s="53">
        <f>'DOE25'!K201+'DOE25'!K219+'DOE25'!K237</f>
        <v>542.17999999999995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128.83000000000001</v>
      </c>
      <c r="D17" s="20">
        <f>'DOE25'!L243-F17-G17</f>
        <v>128.83000000000001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123865</v>
      </c>
      <c r="D22" s="244"/>
      <c r="E22" s="244"/>
      <c r="F22" s="256">
        <f>'DOE25'!L247+'DOE25'!L328</f>
        <v>123865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12178357.84</v>
      </c>
      <c r="D25" s="244"/>
      <c r="E25" s="244"/>
      <c r="F25" s="259"/>
      <c r="G25" s="257"/>
      <c r="H25" s="258">
        <f>'DOE25'!L252+'DOE25'!L253+'DOE25'!L333+'DOE25'!L334</f>
        <v>12178357.84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3246871.7899999996</v>
      </c>
      <c r="D29" s="20">
        <f>'DOE25'!L350+'DOE25'!L351+'DOE25'!L352-'DOE25'!I359-F29-G29</f>
        <v>3231320.5199999996</v>
      </c>
      <c r="E29" s="244"/>
      <c r="F29" s="256">
        <f>'DOE25'!J350+'DOE25'!J351+'DOE25'!J352</f>
        <v>15551.269999999999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25668891.210000001</v>
      </c>
      <c r="D31" s="20">
        <f>'DOE25'!L282+'DOE25'!L301+'DOE25'!L320+'DOE25'!L325+'DOE25'!L326+'DOE25'!L327-F31-G31</f>
        <v>24723311.41</v>
      </c>
      <c r="E31" s="244"/>
      <c r="F31" s="256">
        <f>'DOE25'!J282+'DOE25'!J301+'DOE25'!J320+'DOE25'!J325+'DOE25'!J326+'DOE25'!J327</f>
        <v>793235.8</v>
      </c>
      <c r="G31" s="53">
        <f>'DOE25'!K282+'DOE25'!K301+'DOE25'!K320+'DOE25'!K325+'DOE25'!K326+'DOE25'!K327</f>
        <v>152344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154160206.57999998</v>
      </c>
      <c r="E33" s="247">
        <f>SUM(E5:E31)</f>
        <v>3572874.48</v>
      </c>
      <c r="F33" s="247">
        <f>SUM(F5:F31)</f>
        <v>1006007.23</v>
      </c>
      <c r="G33" s="247">
        <f>SUM(G5:G31)</f>
        <v>337282.95</v>
      </c>
      <c r="H33" s="247">
        <f>SUM(H5:H31)</f>
        <v>12178357.84</v>
      </c>
    </row>
    <row r="35" spans="2:8" ht="12" thickBot="1" x14ac:dyDescent="0.25">
      <c r="B35" s="254" t="s">
        <v>881</v>
      </c>
      <c r="D35" s="255">
        <f>E33</f>
        <v>3572874.48</v>
      </c>
      <c r="E35" s="250"/>
    </row>
    <row r="36" spans="2:8" ht="12" thickTop="1" x14ac:dyDescent="0.2">
      <c r="B36" t="s">
        <v>849</v>
      </c>
      <c r="D36" s="20">
        <f>D33</f>
        <v>154160206.57999998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64ED-5A3F-4A2F-8E46-4DE3651D1557}">
  <sheetPr transitionEvaluation="1" codeName="Sheet4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MANCHESTER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1376406.78</v>
      </c>
      <c r="D9" s="95">
        <f>'DOE25'!G9</f>
        <v>156398.62</v>
      </c>
      <c r="E9" s="95">
        <f>'DOE25'!H9</f>
        <v>183361.99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7494299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2279723.0699999998</v>
      </c>
      <c r="D12" s="95">
        <f>'DOE25'!G12</f>
        <v>647260.56000000006</v>
      </c>
      <c r="E12" s="95">
        <f>'DOE25'!H12</f>
        <v>0</v>
      </c>
      <c r="F12" s="95">
        <f>'DOE25'!I12</f>
        <v>0</v>
      </c>
      <c r="G12" s="95">
        <f>'DOE25'!J12</f>
        <v>1913243.27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29049456.09</v>
      </c>
      <c r="D13" s="95">
        <f>'DOE25'!G13</f>
        <v>224024.04</v>
      </c>
      <c r="E13" s="95">
        <f>'DOE25'!H13</f>
        <v>17028.79</v>
      </c>
      <c r="F13" s="95">
        <f>'DOE25'!I13</f>
        <v>0</v>
      </c>
      <c r="G13" s="95">
        <f>'DOE25'!J13</f>
        <v>133007.43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732511.37</v>
      </c>
      <c r="D14" s="95">
        <f>'DOE25'!G14</f>
        <v>6562.01</v>
      </c>
      <c r="E14" s="95">
        <f>'DOE25'!H14</f>
        <v>6560412.75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58440.43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40990836.739999995</v>
      </c>
      <c r="D19" s="41">
        <f>SUM(D9:D18)</f>
        <v>1034245.2300000001</v>
      </c>
      <c r="E19" s="41">
        <f>SUM(E9:E18)</f>
        <v>6760803.5300000003</v>
      </c>
      <c r="F19" s="41">
        <f>SUM(F9:F18)</f>
        <v>0</v>
      </c>
      <c r="G19" s="41">
        <f>SUM(G9:G18)</f>
        <v>2046250.7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4840226.9000000004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1272718.5599999998</v>
      </c>
      <c r="D24" s="95">
        <f>'DOE25'!G25</f>
        <v>97429.26</v>
      </c>
      <c r="E24" s="95">
        <f>'DOE25'!H25</f>
        <v>556633.74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2857331.59</v>
      </c>
      <c r="D28" s="95">
        <f>'DOE25'!G29</f>
        <v>27724.77</v>
      </c>
      <c r="E28" s="95">
        <f>'DOE25'!H29</f>
        <v>637070.39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750710.30999999994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30936029.640000001</v>
      </c>
      <c r="D30" s="95">
        <f>'DOE25'!G31</f>
        <v>39983.919999999998</v>
      </c>
      <c r="E30" s="95">
        <f>'DOE25'!H31</f>
        <v>114006.06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35816790.100000001</v>
      </c>
      <c r="D32" s="41">
        <f>SUM(D22:D31)</f>
        <v>165137.95000000001</v>
      </c>
      <c r="E32" s="41">
        <f>SUM(E22:E31)</f>
        <v>6147937.0899999999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519821.78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3789607.86</v>
      </c>
      <c r="D40" s="95">
        <f>'DOE25'!G41</f>
        <v>869107.28</v>
      </c>
      <c r="E40" s="95">
        <f>'DOE25'!H41</f>
        <v>612866.43999999994</v>
      </c>
      <c r="F40" s="95">
        <f>'DOE25'!I41</f>
        <v>0</v>
      </c>
      <c r="G40" s="95">
        <f>'DOE25'!J41</f>
        <v>2046250.7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864617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5174046.6399999997</v>
      </c>
      <c r="D42" s="41">
        <f>SUM(D34:D41)</f>
        <v>869107.28</v>
      </c>
      <c r="E42" s="41">
        <f>SUM(E34:E41)</f>
        <v>612866.43999999994</v>
      </c>
      <c r="F42" s="41">
        <f>SUM(F34:F41)</f>
        <v>0</v>
      </c>
      <c r="G42" s="41">
        <f>SUM(G34:G41)</f>
        <v>2046250.7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40990836.740000002</v>
      </c>
      <c r="D43" s="41">
        <f>D42+D32</f>
        <v>1034245.23</v>
      </c>
      <c r="E43" s="41">
        <f>E42+E32</f>
        <v>6760803.5299999993</v>
      </c>
      <c r="F43" s="41">
        <f>F42+F32</f>
        <v>0</v>
      </c>
      <c r="G43" s="41">
        <f>G42+G32</f>
        <v>2046250.7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52082553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11248954.5</v>
      </c>
      <c r="D49" s="24" t="s">
        <v>312</v>
      </c>
      <c r="E49" s="95">
        <f>'DOE25'!H71</f>
        <v>3459715.5300000003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75510.66</v>
      </c>
      <c r="D51" s="95">
        <f>'DOE25'!G88</f>
        <v>0</v>
      </c>
      <c r="E51" s="95">
        <f>'DOE25'!H88</f>
        <v>4136.83</v>
      </c>
      <c r="F51" s="95">
        <f>'DOE25'!I88</f>
        <v>0</v>
      </c>
      <c r="G51" s="95">
        <f>'DOE25'!J88</f>
        <v>43045.13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1902504.33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905013.65</v>
      </c>
      <c r="D53" s="95">
        <f>SUM('DOE25'!G90:G102)</f>
        <v>0</v>
      </c>
      <c r="E53" s="95">
        <f>SUM('DOE25'!H90:H102)</f>
        <v>1129036.6400000001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12229478.810000001</v>
      </c>
      <c r="D54" s="130">
        <f>SUM(D49:D53)</f>
        <v>1902504.33</v>
      </c>
      <c r="E54" s="130">
        <f>SUM(E49:E53)</f>
        <v>4592889</v>
      </c>
      <c r="F54" s="130">
        <f>SUM(F49:F53)</f>
        <v>0</v>
      </c>
      <c r="G54" s="130">
        <f>SUM(G49:G53)</f>
        <v>43045.13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64312031.810000002</v>
      </c>
      <c r="D55" s="22">
        <f>D48+D54</f>
        <v>1902504.33</v>
      </c>
      <c r="E55" s="22">
        <f>E48+E54</f>
        <v>4592889</v>
      </c>
      <c r="F55" s="22">
        <f>F48+F54</f>
        <v>0</v>
      </c>
      <c r="G55" s="22">
        <f>G48+G54</f>
        <v>43045.13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41022286.359999999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21291730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15738976.640000001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78052993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1998398.73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705885.66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492478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190275.09</v>
      </c>
      <c r="E69" s="95">
        <f>SUM('DOE25'!H123:H127)</f>
        <v>319225.65000000002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3196762.39</v>
      </c>
      <c r="D70" s="130">
        <f>SUM(D64:D69)</f>
        <v>190275.09</v>
      </c>
      <c r="E70" s="130">
        <f>SUM(E64:E69)</f>
        <v>319225.65000000002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81249755.390000001</v>
      </c>
      <c r="D73" s="130">
        <f>SUM(D71:D72)+D70+D62</f>
        <v>190275.09</v>
      </c>
      <c r="E73" s="130">
        <f>SUM(E71:E72)+E70+E62</f>
        <v>319225.65000000002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246509.79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2252946.96</v>
      </c>
      <c r="D80" s="95">
        <f>SUM('DOE25'!G145:G153)</f>
        <v>3107846.45</v>
      </c>
      <c r="E80" s="95">
        <f>SUM('DOE25'!H145:H153)</f>
        <v>21100842.840000004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2252946.96</v>
      </c>
      <c r="D83" s="131">
        <f>SUM(D77:D82)</f>
        <v>3354356.24</v>
      </c>
      <c r="E83" s="131">
        <f>SUM(E77:E82)</f>
        <v>21100842.840000004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1913243.27</v>
      </c>
    </row>
    <row r="89" spans="1:7" x14ac:dyDescent="0.2">
      <c r="A89" t="s">
        <v>790</v>
      </c>
      <c r="B89" s="32" t="s">
        <v>211</v>
      </c>
      <c r="C89" s="95">
        <f>SUM('DOE25'!F172:F173)</f>
        <v>298816.38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298816.38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1913243.27</v>
      </c>
    </row>
    <row r="96" spans="1:7" ht="12.75" thickTop="1" thickBot="1" x14ac:dyDescent="0.25">
      <c r="A96" s="33" t="s">
        <v>797</v>
      </c>
      <c r="C96" s="86">
        <f>C55+C73+C83+C95</f>
        <v>148113550.53999999</v>
      </c>
      <c r="D96" s="86">
        <f>D55+D73+D83+D95</f>
        <v>5447135.6600000001</v>
      </c>
      <c r="E96" s="86">
        <f>E55+E73+E83+E95</f>
        <v>26012957.490000002</v>
      </c>
      <c r="F96" s="86">
        <f>F55+F73+F83+F95</f>
        <v>0</v>
      </c>
      <c r="G96" s="86">
        <f>G55+G73+G95</f>
        <v>1956288.4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56858596.010000013</v>
      </c>
      <c r="D101" s="24" t="s">
        <v>312</v>
      </c>
      <c r="E101" s="95">
        <f>('DOE25'!L268)+('DOE25'!L287)+('DOE25'!L306)</f>
        <v>3625482.62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28667888.569999997</v>
      </c>
      <c r="D102" s="24" t="s">
        <v>312</v>
      </c>
      <c r="E102" s="95">
        <f>('DOE25'!L269)+('DOE25'!L288)+('DOE25'!L307)</f>
        <v>16516860.57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4445039.9799999995</v>
      </c>
      <c r="D103" s="24" t="s">
        <v>312</v>
      </c>
      <c r="E103" s="95">
        <f>('DOE25'!L270)+('DOE25'!L289)+('DOE25'!L308)</f>
        <v>730819.3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1757133.06</v>
      </c>
      <c r="D104" s="24" t="s">
        <v>312</v>
      </c>
      <c r="E104" s="95">
        <f>+('DOE25'!L271)+('DOE25'!L290)+('DOE25'!L309)</f>
        <v>1364392.76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11533.08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128.83000000000001</v>
      </c>
      <c r="D106" s="24" t="s">
        <v>312</v>
      </c>
      <c r="E106" s="95">
        <f>+ SUM('DOE25'!L325:L327)</f>
        <v>451073.52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91728786.450000018</v>
      </c>
      <c r="D107" s="86">
        <f>SUM(D101:D106)</f>
        <v>0</v>
      </c>
      <c r="E107" s="86">
        <f>SUM(E101:E106)</f>
        <v>22700161.850000001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9453211.4699999988</v>
      </c>
      <c r="D110" s="24" t="s">
        <v>312</v>
      </c>
      <c r="E110" s="95">
        <f>+('DOE25'!L273)+('DOE25'!L292)+('DOE25'!L311)</f>
        <v>1046969.34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1944573.25</v>
      </c>
      <c r="D111" s="24" t="s">
        <v>312</v>
      </c>
      <c r="E111" s="95">
        <f>+('DOE25'!L274)+('DOE25'!L293)+('DOE25'!L312)</f>
        <v>977055.37000000011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1038191.65</v>
      </c>
      <c r="D112" s="24" t="s">
        <v>312</v>
      </c>
      <c r="E112" s="95">
        <f>+('DOE25'!L275)+('DOE25'!L294)+('DOE25'!L313)</f>
        <v>862643.76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7857810.9400000013</v>
      </c>
      <c r="D113" s="24" t="s">
        <v>312</v>
      </c>
      <c r="E113" s="95">
        <f>+('DOE25'!L276)+('DOE25'!L295)+('DOE25'!L314)</f>
        <v>3277.16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1489606.67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9958379.3300000019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4865850.5199999996</v>
      </c>
      <c r="D116" s="24" t="s">
        <v>312</v>
      </c>
      <c r="E116" s="95">
        <f>+('DOE25'!L279)+('DOE25'!L298)+('DOE25'!L317)</f>
        <v>10944.38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1614449.96</v>
      </c>
      <c r="D117" s="24" t="s">
        <v>312</v>
      </c>
      <c r="E117" s="95">
        <f>+('DOE25'!L280)+('DOE25'!L299)+('DOE25'!L318)</f>
        <v>79372.429999999993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5161154.6399999997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38222073.790000007</v>
      </c>
      <c r="D120" s="86">
        <f>SUM(D110:D119)</f>
        <v>5161154.6399999997</v>
      </c>
      <c r="E120" s="86">
        <f>SUM(E110:E119)</f>
        <v>2980262.44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123865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6001663.6100000003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6176694.2300000004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298816.38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1956288.3999999997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-43045.129999999655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14215466.110000001</v>
      </c>
      <c r="D136" s="141">
        <f>SUM(D122:D135)</f>
        <v>0</v>
      </c>
      <c r="E136" s="141">
        <f>SUM(E122:E135)</f>
        <v>298816.38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144166326.35000002</v>
      </c>
      <c r="D137" s="86">
        <f>(D107+D120+D136)</f>
        <v>5161154.6399999997</v>
      </c>
      <c r="E137" s="86">
        <f>(E107+E120+E136)</f>
        <v>25979240.670000002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6E87-9EC6-49E9-8BF9-973D90077E56}">
  <sheetPr codeName="Sheet5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MANCHESTER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9953</v>
      </c>
    </row>
    <row r="5" spans="1:4" x14ac:dyDescent="0.2">
      <c r="B5" t="s">
        <v>735</v>
      </c>
      <c r="C5" s="179">
        <f>IF('DOE25'!G655+'DOE25'!G660=0,0,ROUND('DOE25'!G662,0))</f>
        <v>9375</v>
      </c>
    </row>
    <row r="6" spans="1:4" x14ac:dyDescent="0.2">
      <c r="B6" t="s">
        <v>62</v>
      </c>
      <c r="C6" s="179">
        <f>IF('DOE25'!H655+'DOE25'!H660=0,0,ROUND('DOE25'!H662,0))</f>
        <v>8950</v>
      </c>
    </row>
    <row r="7" spans="1:4" x14ac:dyDescent="0.2">
      <c r="B7" t="s">
        <v>736</v>
      </c>
      <c r="C7" s="179">
        <f>IF('DOE25'!I655+'DOE25'!I660=0,0,ROUND('DOE25'!I662,0))</f>
        <v>9459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60484079</v>
      </c>
      <c r="D10" s="182">
        <f>ROUND((C10/$C$28)*100,1)</f>
        <v>36.6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45184749</v>
      </c>
      <c r="D11" s="182">
        <f>ROUND((C11/$C$28)*100,1)</f>
        <v>27.4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5175859</v>
      </c>
      <c r="D12" s="182">
        <f>ROUND((C12/$C$28)*100,1)</f>
        <v>3.1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3121526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10500181</v>
      </c>
      <c r="D15" s="182">
        <f t="shared" ref="D15:D27" si="0">ROUND((C15/$C$28)*100,1)</f>
        <v>6.4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2921629</v>
      </c>
      <c r="D16" s="182">
        <f t="shared" si="0"/>
        <v>1.8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3594658</v>
      </c>
      <c r="D17" s="182">
        <f t="shared" si="0"/>
        <v>2.2000000000000002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7861088</v>
      </c>
      <c r="D18" s="182">
        <f t="shared" si="0"/>
        <v>4.8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1489607</v>
      </c>
      <c r="D19" s="182">
        <f t="shared" si="0"/>
        <v>0.9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9958379</v>
      </c>
      <c r="D20" s="182">
        <f t="shared" si="0"/>
        <v>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4876795</v>
      </c>
      <c r="D21" s="182">
        <f t="shared" si="0"/>
        <v>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11533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451202</v>
      </c>
      <c r="D24" s="182">
        <f t="shared" si="0"/>
        <v>0.3</v>
      </c>
    </row>
    <row r="25" spans="1:4" x14ac:dyDescent="0.2">
      <c r="A25">
        <v>5120</v>
      </c>
      <c r="B25" t="s">
        <v>751</v>
      </c>
      <c r="C25" s="179">
        <f>ROUND('DOE25'!L253+'DOE25'!L334,0)</f>
        <v>6176694</v>
      </c>
      <c r="D25" s="182">
        <f t="shared" si="0"/>
        <v>3.7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3258650.67</v>
      </c>
      <c r="D27" s="182">
        <f t="shared" si="0"/>
        <v>2</v>
      </c>
    </row>
    <row r="28" spans="1:4" x14ac:dyDescent="0.2">
      <c r="B28" s="187" t="s">
        <v>754</v>
      </c>
      <c r="C28" s="180">
        <f>SUM(C10:C27)</f>
        <v>165066629.66999999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123865</v>
      </c>
    </row>
    <row r="30" spans="1:4" x14ac:dyDescent="0.2">
      <c r="B30" s="187" t="s">
        <v>760</v>
      </c>
      <c r="C30" s="180">
        <f>SUM(C28:C29)</f>
        <v>165190494.66999999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6001664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52082553</v>
      </c>
      <c r="D35" s="182">
        <f t="shared" ref="D35:D40" si="1">ROUND((C35/$C$41)*100,1)</f>
        <v>29.4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16865412.939999998</v>
      </c>
      <c r="D36" s="182">
        <f t="shared" si="1"/>
        <v>9.5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62314016</v>
      </c>
      <c r="D37" s="182">
        <f t="shared" si="1"/>
        <v>35.1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19445240</v>
      </c>
      <c r="D38" s="182">
        <f t="shared" si="1"/>
        <v>11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26708146</v>
      </c>
      <c r="D39" s="182">
        <f t="shared" si="1"/>
        <v>15.1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177415367.94</v>
      </c>
      <c r="D41" s="184">
        <f>SUM(D35:D40)</f>
        <v>100.1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7E891-9582-4FB9-87AD-F193C456A238}">
  <sheetPr codeName="Sheet6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MANCHESTER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2010-12-02T15:19:06Z</cp:lastPrinted>
  <dcterms:created xsi:type="dcterms:W3CDTF">1997-12-04T19:04:30Z</dcterms:created>
  <dcterms:modified xsi:type="dcterms:W3CDTF">2025-01-02T14:49:26Z</dcterms:modified>
</cp:coreProperties>
</file>