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B2614EC-847A-4190-9275-E190425E0644}" xr6:coauthVersionLast="47" xr6:coauthVersionMax="47" xr10:uidLastSave="{00000000-0000-0000-0000-000000000000}"/>
  <workbookProtection workbookPassword="B70A" lockStructure="1"/>
  <bookViews>
    <workbookView xWindow="4020" yWindow="4020" windowWidth="21600" windowHeight="11505" tabRatio="855" xr2:uid="{7385A85A-3084-4007-9058-B55BBBCE9CF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8" i="1" l="1"/>
  <c r="J88" i="1"/>
  <c r="G601" i="1"/>
  <c r="F601" i="1"/>
  <c r="L601" i="1" s="1"/>
  <c r="F569" i="1"/>
  <c r="I516" i="1"/>
  <c r="H516" i="1"/>
  <c r="H511" i="1"/>
  <c r="I511" i="1"/>
  <c r="G511" i="1"/>
  <c r="G514" i="1" s="1"/>
  <c r="G535" i="1" s="1"/>
  <c r="F511" i="1"/>
  <c r="F514" i="1" s="1"/>
  <c r="F535" i="1" s="1"/>
  <c r="F492" i="1"/>
  <c r="B155" i="2" s="1"/>
  <c r="G155" i="2" s="1"/>
  <c r="F491" i="1"/>
  <c r="F489" i="1"/>
  <c r="F487" i="1"/>
  <c r="H370" i="1"/>
  <c r="I370" i="1"/>
  <c r="I350" i="1"/>
  <c r="L350" i="1" s="1"/>
  <c r="H350" i="1"/>
  <c r="G350" i="1"/>
  <c r="H275" i="1"/>
  <c r="H274" i="1"/>
  <c r="G274" i="1"/>
  <c r="G282" i="1" s="1"/>
  <c r="G330" i="1" s="1"/>
  <c r="G344" i="1" s="1"/>
  <c r="H273" i="1"/>
  <c r="H282" i="1" s="1"/>
  <c r="H330" i="1" s="1"/>
  <c r="H344" i="1" s="1"/>
  <c r="G271" i="1"/>
  <c r="I268" i="1"/>
  <c r="G268" i="1"/>
  <c r="F268" i="1"/>
  <c r="H236" i="1"/>
  <c r="L236" i="1" s="1"/>
  <c r="J194" i="1"/>
  <c r="F6" i="13" s="1"/>
  <c r="I197" i="1"/>
  <c r="I194" i="1"/>
  <c r="H201" i="1"/>
  <c r="H200" i="1"/>
  <c r="H196" i="1"/>
  <c r="L196" i="1" s="1"/>
  <c r="H195" i="1"/>
  <c r="H203" i="1" s="1"/>
  <c r="H249" i="1" s="1"/>
  <c r="H263" i="1" s="1"/>
  <c r="H194" i="1"/>
  <c r="G196" i="1"/>
  <c r="G195" i="1"/>
  <c r="L195" i="1" s="1"/>
  <c r="G194" i="1"/>
  <c r="G192" i="1"/>
  <c r="F196" i="1"/>
  <c r="F195" i="1"/>
  <c r="F194" i="1"/>
  <c r="F192" i="1"/>
  <c r="H151" i="1"/>
  <c r="H147" i="1"/>
  <c r="H146" i="1"/>
  <c r="H154" i="1" s="1"/>
  <c r="G89" i="1"/>
  <c r="F174" i="1"/>
  <c r="F102" i="1"/>
  <c r="I37" i="1"/>
  <c r="I26" i="1"/>
  <c r="F9" i="1"/>
  <c r="C60" i="2"/>
  <c r="B2" i="13"/>
  <c r="F8" i="13"/>
  <c r="G8" i="13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E16" i="13" s="1"/>
  <c r="C16" i="13" s="1"/>
  <c r="L219" i="1"/>
  <c r="L237" i="1"/>
  <c r="F5" i="13"/>
  <c r="F33" i="13" s="1"/>
  <c r="G5" i="13"/>
  <c r="L189" i="1"/>
  <c r="L190" i="1"/>
  <c r="L191" i="1"/>
  <c r="L203" i="1" s="1"/>
  <c r="L192" i="1"/>
  <c r="C104" i="2" s="1"/>
  <c r="L207" i="1"/>
  <c r="C101" i="2" s="1"/>
  <c r="L208" i="1"/>
  <c r="L209" i="1"/>
  <c r="L210" i="1"/>
  <c r="L225" i="1"/>
  <c r="L226" i="1"/>
  <c r="L227" i="1"/>
  <c r="L228" i="1"/>
  <c r="G6" i="13"/>
  <c r="L194" i="1"/>
  <c r="L212" i="1"/>
  <c r="L230" i="1"/>
  <c r="F7" i="13"/>
  <c r="G7" i="13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G640" i="1" s="1"/>
  <c r="F17" i="13"/>
  <c r="D17" i="13" s="1"/>
  <c r="C17" i="13" s="1"/>
  <c r="G17" i="13"/>
  <c r="L243" i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1" i="1"/>
  <c r="L352" i="1"/>
  <c r="I359" i="1"/>
  <c r="J282" i="1"/>
  <c r="F31" i="13" s="1"/>
  <c r="J301" i="1"/>
  <c r="J320" i="1"/>
  <c r="K282" i="1"/>
  <c r="G31" i="13" s="1"/>
  <c r="K301" i="1"/>
  <c r="K320" i="1"/>
  <c r="L268" i="1"/>
  <c r="L269" i="1"/>
  <c r="L270" i="1"/>
  <c r="L271" i="1"/>
  <c r="L274" i="1"/>
  <c r="L275" i="1"/>
  <c r="E112" i="2" s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E111" i="2" s="1"/>
  <c r="L294" i="1"/>
  <c r="L295" i="1"/>
  <c r="L296" i="1"/>
  <c r="L297" i="1"/>
  <c r="L298" i="1"/>
  <c r="L299" i="1"/>
  <c r="L306" i="1"/>
  <c r="L307" i="1"/>
  <c r="L308" i="1"/>
  <c r="L320" i="1" s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H25" i="13" s="1"/>
  <c r="L253" i="1"/>
  <c r="L333" i="1"/>
  <c r="L334" i="1"/>
  <c r="L247" i="1"/>
  <c r="C122" i="2" s="1"/>
  <c r="L328" i="1"/>
  <c r="E122" i="2" s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9" i="1" s="1"/>
  <c r="C132" i="2" s="1"/>
  <c r="L397" i="1"/>
  <c r="L398" i="1"/>
  <c r="L258" i="1"/>
  <c r="J52" i="1"/>
  <c r="G48" i="2"/>
  <c r="G55" i="2" s="1"/>
  <c r="G96" i="2" s="1"/>
  <c r="G51" i="2"/>
  <c r="G54" i="2" s="1"/>
  <c r="G53" i="2"/>
  <c r="F2" i="11"/>
  <c r="L603" i="1"/>
  <c r="H653" i="1" s="1"/>
  <c r="L602" i="1"/>
  <c r="G653" i="1" s="1"/>
  <c r="C40" i="10"/>
  <c r="F52" i="1"/>
  <c r="C35" i="10" s="1"/>
  <c r="G52" i="1"/>
  <c r="D48" i="2" s="1"/>
  <c r="D55" i="2" s="1"/>
  <c r="H52" i="1"/>
  <c r="I52" i="1"/>
  <c r="F71" i="1"/>
  <c r="F86" i="1"/>
  <c r="F103" i="1"/>
  <c r="G103" i="1"/>
  <c r="H71" i="1"/>
  <c r="H104" i="1" s="1"/>
  <c r="H86" i="1"/>
  <c r="E50" i="2" s="1"/>
  <c r="H103" i="1"/>
  <c r="I103" i="1"/>
  <c r="I104" i="1"/>
  <c r="J103" i="1"/>
  <c r="J104" i="1" s="1"/>
  <c r="C37" i="10"/>
  <c r="F113" i="1"/>
  <c r="F128" i="1"/>
  <c r="F132" i="1"/>
  <c r="G113" i="1"/>
  <c r="G132" i="1" s="1"/>
  <c r="G128" i="1"/>
  <c r="H113" i="1"/>
  <c r="H128" i="1"/>
  <c r="H132" i="1" s="1"/>
  <c r="I113" i="1"/>
  <c r="I128" i="1"/>
  <c r="I132" i="1" s="1"/>
  <c r="I185" i="1" s="1"/>
  <c r="G620" i="1" s="1"/>
  <c r="J620" i="1" s="1"/>
  <c r="J113" i="1"/>
  <c r="J128" i="1"/>
  <c r="J132" i="1"/>
  <c r="F139" i="1"/>
  <c r="F161" i="1" s="1"/>
  <c r="F154" i="1"/>
  <c r="G139" i="1"/>
  <c r="D77" i="2" s="1"/>
  <c r="D83" i="2" s="1"/>
  <c r="G154" i="1"/>
  <c r="H139" i="1"/>
  <c r="I139" i="1"/>
  <c r="I154" i="1"/>
  <c r="I161" i="1"/>
  <c r="C11" i="10"/>
  <c r="C12" i="10"/>
  <c r="C13" i="10"/>
  <c r="C20" i="10"/>
  <c r="L242" i="1"/>
  <c r="L324" i="1"/>
  <c r="C23" i="10"/>
  <c r="L246" i="1"/>
  <c r="C24" i="10"/>
  <c r="C25" i="10"/>
  <c r="L260" i="1"/>
  <c r="L261" i="1"/>
  <c r="C26" i="10" s="1"/>
  <c r="L341" i="1"/>
  <c r="L342" i="1"/>
  <c r="I655" i="1"/>
  <c r="I660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2" i="1"/>
  <c r="F540" i="1"/>
  <c r="L513" i="1"/>
  <c r="F541" i="1" s="1"/>
  <c r="L516" i="1"/>
  <c r="G539" i="1" s="1"/>
  <c r="G542" i="1" s="1"/>
  <c r="L517" i="1"/>
  <c r="G540" i="1"/>
  <c r="L518" i="1"/>
  <c r="G541" i="1" s="1"/>
  <c r="L521" i="1"/>
  <c r="H539" i="1"/>
  <c r="H542" i="1" s="1"/>
  <c r="L522" i="1"/>
  <c r="H540" i="1" s="1"/>
  <c r="L523" i="1"/>
  <c r="H541" i="1"/>
  <c r="L526" i="1"/>
  <c r="I539" i="1"/>
  <c r="L527" i="1"/>
  <c r="I540" i="1" s="1"/>
  <c r="I542" i="1" s="1"/>
  <c r="L528" i="1"/>
  <c r="I541" i="1"/>
  <c r="L531" i="1"/>
  <c r="J539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C32" i="2" s="1"/>
  <c r="D22" i="2"/>
  <c r="E22" i="2"/>
  <c r="F22" i="2"/>
  <c r="I440" i="1"/>
  <c r="J23" i="1" s="1"/>
  <c r="C23" i="2"/>
  <c r="D23" i="2"/>
  <c r="E23" i="2"/>
  <c r="E32" i="2" s="1"/>
  <c r="F23" i="2"/>
  <c r="I441" i="1"/>
  <c r="I444" i="1" s="1"/>
  <c r="J24" i="1"/>
  <c r="G23" i="2"/>
  <c r="C24" i="2"/>
  <c r="D24" i="2"/>
  <c r="E24" i="2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D32" i="2"/>
  <c r="C34" i="2"/>
  <c r="C42" i="2" s="1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D42" i="2" s="1"/>
  <c r="D43" i="2" s="1"/>
  <c r="E38" i="2"/>
  <c r="F38" i="2"/>
  <c r="I448" i="1"/>
  <c r="J40" i="1" s="1"/>
  <c r="G39" i="2" s="1"/>
  <c r="C40" i="2"/>
  <c r="D40" i="2"/>
  <c r="E40" i="2"/>
  <c r="E42" i="2" s="1"/>
  <c r="F40" i="2"/>
  <c r="F42" i="2" s="1"/>
  <c r="I449" i="1"/>
  <c r="J41" i="1"/>
  <c r="G40" i="2"/>
  <c r="C41" i="2"/>
  <c r="D41" i="2"/>
  <c r="E41" i="2"/>
  <c r="F41" i="2"/>
  <c r="E48" i="2"/>
  <c r="F48" i="2"/>
  <c r="C49" i="2"/>
  <c r="E49" i="2"/>
  <c r="C50" i="2"/>
  <c r="C54" i="2" s="1"/>
  <c r="C51" i="2"/>
  <c r="D51" i="2"/>
  <c r="E51" i="2"/>
  <c r="F51" i="2"/>
  <c r="D52" i="2"/>
  <c r="C53" i="2"/>
  <c r="D53" i="2"/>
  <c r="E53" i="2"/>
  <c r="F53" i="2"/>
  <c r="F54" i="2" s="1"/>
  <c r="F55" i="2" s="1"/>
  <c r="D54" i="2"/>
  <c r="C58" i="2"/>
  <c r="C59" i="2"/>
  <c r="C61" i="2"/>
  <c r="D61" i="2"/>
  <c r="D62" i="2" s="1"/>
  <c r="E61" i="2"/>
  <c r="E62" i="2" s="1"/>
  <c r="F61" i="2"/>
  <c r="F62" i="2" s="1"/>
  <c r="G61" i="2"/>
  <c r="C62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D70" i="2"/>
  <c r="E70" i="2"/>
  <c r="E73" i="2" s="1"/>
  <c r="F70" i="2"/>
  <c r="G70" i="2"/>
  <c r="C71" i="2"/>
  <c r="D71" i="2"/>
  <c r="E71" i="2"/>
  <c r="C72" i="2"/>
  <c r="E72" i="2"/>
  <c r="G73" i="2"/>
  <c r="C77" i="2"/>
  <c r="C83" i="2" s="1"/>
  <c r="E77" i="2"/>
  <c r="F77" i="2"/>
  <c r="F83" i="2" s="1"/>
  <c r="C79" i="2"/>
  <c r="E79" i="2"/>
  <c r="F79" i="2"/>
  <c r="C80" i="2"/>
  <c r="D80" i="2"/>
  <c r="F80" i="2"/>
  <c r="C81" i="2"/>
  <c r="D81" i="2"/>
  <c r="E81" i="2"/>
  <c r="F81" i="2"/>
  <c r="C82" i="2"/>
  <c r="C85" i="2"/>
  <c r="C95" i="2" s="1"/>
  <c r="F85" i="2"/>
  <c r="C86" i="2"/>
  <c r="F86" i="2"/>
  <c r="F95" i="2" s="1"/>
  <c r="D88" i="2"/>
  <c r="D95" i="2" s="1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C102" i="2"/>
  <c r="E102" i="2"/>
  <c r="C105" i="2"/>
  <c r="E105" i="2"/>
  <c r="C106" i="2"/>
  <c r="D107" i="2"/>
  <c r="F107" i="2"/>
  <c r="F137" i="2" s="1"/>
  <c r="G107" i="2"/>
  <c r="E113" i="2"/>
  <c r="C114" i="2"/>
  <c r="E114" i="2"/>
  <c r="C115" i="2"/>
  <c r="E115" i="2"/>
  <c r="E116" i="2"/>
  <c r="E117" i="2"/>
  <c r="F120" i="2"/>
  <c r="G120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H490" i="1"/>
  <c r="D153" i="2"/>
  <c r="I490" i="1"/>
  <c r="E153" i="2" s="1"/>
  <c r="J490" i="1"/>
  <c r="F153" i="2" s="1"/>
  <c r="B154" i="2"/>
  <c r="C154" i="2"/>
  <c r="G154" i="2" s="1"/>
  <c r="D154" i="2"/>
  <c r="E154" i="2"/>
  <c r="F154" i="2"/>
  <c r="C155" i="2"/>
  <c r="D155" i="2"/>
  <c r="E155" i="2"/>
  <c r="F155" i="2"/>
  <c r="G493" i="1"/>
  <c r="C156" i="2"/>
  <c r="H493" i="1"/>
  <c r="D156" i="2"/>
  <c r="I493" i="1"/>
  <c r="E156" i="2" s="1"/>
  <c r="J493" i="1"/>
  <c r="F156" i="2"/>
  <c r="F19" i="1"/>
  <c r="G19" i="1"/>
  <c r="H19" i="1"/>
  <c r="G609" i="1" s="1"/>
  <c r="J609" i="1" s="1"/>
  <c r="I19" i="1"/>
  <c r="G610" i="1" s="1"/>
  <c r="F33" i="1"/>
  <c r="G33" i="1"/>
  <c r="H33" i="1"/>
  <c r="H44" i="1" s="1"/>
  <c r="H609" i="1" s="1"/>
  <c r="I33" i="1"/>
  <c r="I44" i="1" s="1"/>
  <c r="H610" i="1" s="1"/>
  <c r="F43" i="1"/>
  <c r="G612" i="1" s="1"/>
  <c r="G43" i="1"/>
  <c r="H43" i="1"/>
  <c r="I43" i="1"/>
  <c r="F44" i="1"/>
  <c r="G44" i="1"/>
  <c r="H608" i="1" s="1"/>
  <c r="J608" i="1" s="1"/>
  <c r="F169" i="1"/>
  <c r="I169" i="1"/>
  <c r="F175" i="1"/>
  <c r="F184" i="1" s="1"/>
  <c r="G175" i="1"/>
  <c r="H175" i="1"/>
  <c r="H184" i="1" s="1"/>
  <c r="I175" i="1"/>
  <c r="J175" i="1"/>
  <c r="J184" i="1" s="1"/>
  <c r="F180" i="1"/>
  <c r="G180" i="1"/>
  <c r="G184" i="1" s="1"/>
  <c r="H180" i="1"/>
  <c r="I180" i="1"/>
  <c r="I184" i="1"/>
  <c r="F203" i="1"/>
  <c r="G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F249" i="1"/>
  <c r="G249" i="1"/>
  <c r="F263" i="1"/>
  <c r="G263" i="1"/>
  <c r="F28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L329" i="1"/>
  <c r="F330" i="1"/>
  <c r="F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F438" i="1"/>
  <c r="G629" i="1" s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J613" i="1" s="1"/>
  <c r="H460" i="1"/>
  <c r="H466" i="1" s="1"/>
  <c r="H614" i="1" s="1"/>
  <c r="J614" i="1" s="1"/>
  <c r="I460" i="1"/>
  <c r="J460" i="1"/>
  <c r="F464" i="1"/>
  <c r="G464" i="1"/>
  <c r="H464" i="1"/>
  <c r="I464" i="1"/>
  <c r="J464" i="1"/>
  <c r="I466" i="1"/>
  <c r="J466" i="1"/>
  <c r="H616" i="1" s="1"/>
  <c r="K485" i="1"/>
  <c r="K486" i="1"/>
  <c r="K487" i="1"/>
  <c r="K488" i="1"/>
  <c r="K489" i="1"/>
  <c r="K491" i="1"/>
  <c r="F507" i="1"/>
  <c r="G507" i="1"/>
  <c r="H507" i="1"/>
  <c r="I507" i="1"/>
  <c r="H514" i="1"/>
  <c r="I514" i="1"/>
  <c r="J514" i="1"/>
  <c r="J535" i="1" s="1"/>
  <c r="K514" i="1"/>
  <c r="F519" i="1"/>
  <c r="G519" i="1"/>
  <c r="H519" i="1"/>
  <c r="H535" i="1" s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 s="1"/>
  <c r="L534" i="1"/>
  <c r="L547" i="1"/>
  <c r="L550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H607" i="1"/>
  <c r="G608" i="1"/>
  <c r="G613" i="1"/>
  <c r="G614" i="1"/>
  <c r="G615" i="1"/>
  <c r="J615" i="1" s="1"/>
  <c r="H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1" i="1"/>
  <c r="G633" i="1"/>
  <c r="G634" i="1"/>
  <c r="G635" i="1"/>
  <c r="J635" i="1" s="1"/>
  <c r="H635" i="1"/>
  <c r="G639" i="1"/>
  <c r="J639" i="1" s="1"/>
  <c r="H639" i="1"/>
  <c r="H641" i="1"/>
  <c r="G642" i="1"/>
  <c r="H642" i="1"/>
  <c r="J642" i="1"/>
  <c r="G643" i="1"/>
  <c r="J643" i="1" s="1"/>
  <c r="H643" i="1"/>
  <c r="G644" i="1"/>
  <c r="H644" i="1"/>
  <c r="J644" i="1" s="1"/>
  <c r="G645" i="1"/>
  <c r="H645" i="1"/>
  <c r="J645" i="1" s="1"/>
  <c r="L561" i="1" l="1"/>
  <c r="C25" i="13"/>
  <c r="H33" i="13"/>
  <c r="J640" i="1"/>
  <c r="E8" i="13"/>
  <c r="C17" i="10"/>
  <c r="C112" i="2"/>
  <c r="F73" i="2"/>
  <c r="F43" i="2"/>
  <c r="D15" i="13"/>
  <c r="C15" i="13" s="1"/>
  <c r="L239" i="1"/>
  <c r="H650" i="1" s="1"/>
  <c r="J631" i="1"/>
  <c r="J629" i="1"/>
  <c r="E54" i="2"/>
  <c r="E55" i="2" s="1"/>
  <c r="E96" i="2" s="1"/>
  <c r="E43" i="2"/>
  <c r="J542" i="1"/>
  <c r="J610" i="1"/>
  <c r="D73" i="2"/>
  <c r="D96" i="2" s="1"/>
  <c r="J185" i="1"/>
  <c r="G153" i="2"/>
  <c r="F96" i="2"/>
  <c r="G36" i="2"/>
  <c r="G42" i="2" s="1"/>
  <c r="J43" i="1"/>
  <c r="C43" i="2"/>
  <c r="K541" i="1"/>
  <c r="C107" i="2"/>
  <c r="D119" i="2"/>
  <c r="D120" i="2" s="1"/>
  <c r="D137" i="2" s="1"/>
  <c r="G651" i="1"/>
  <c r="H651" i="1"/>
  <c r="D29" i="13"/>
  <c r="C29" i="13" s="1"/>
  <c r="L354" i="1"/>
  <c r="F651" i="1"/>
  <c r="K540" i="1"/>
  <c r="L400" i="1"/>
  <c r="C130" i="2"/>
  <c r="H652" i="1"/>
  <c r="G641" i="1"/>
  <c r="J641" i="1" s="1"/>
  <c r="J263" i="1"/>
  <c r="H638" i="1"/>
  <c r="J638" i="1" s="1"/>
  <c r="J19" i="1"/>
  <c r="G611" i="1" s="1"/>
  <c r="G9" i="2"/>
  <c r="G19" i="2" s="1"/>
  <c r="E136" i="2"/>
  <c r="F653" i="1"/>
  <c r="I653" i="1" s="1"/>
  <c r="L604" i="1"/>
  <c r="H185" i="1"/>
  <c r="G619" i="1" s="1"/>
  <c r="J619" i="1" s="1"/>
  <c r="C16" i="10"/>
  <c r="D7" i="13"/>
  <c r="C7" i="13" s="1"/>
  <c r="C111" i="2"/>
  <c r="H161" i="1"/>
  <c r="G33" i="13"/>
  <c r="J612" i="1"/>
  <c r="G22" i="2"/>
  <c r="G32" i="2" s="1"/>
  <c r="J33" i="1"/>
  <c r="C38" i="10"/>
  <c r="L524" i="1"/>
  <c r="C117" i="2"/>
  <c r="L273" i="1"/>
  <c r="I438" i="1"/>
  <c r="G632" i="1" s="1"/>
  <c r="F493" i="1"/>
  <c r="E80" i="2"/>
  <c r="E83" i="2" s="1"/>
  <c r="C10" i="10"/>
  <c r="G104" i="1"/>
  <c r="E13" i="13"/>
  <c r="C13" i="13" s="1"/>
  <c r="K492" i="1"/>
  <c r="L374" i="1"/>
  <c r="G626" i="1" s="1"/>
  <c r="J626" i="1" s="1"/>
  <c r="C116" i="2"/>
  <c r="C110" i="2"/>
  <c r="C120" i="2" s="1"/>
  <c r="E103" i="2"/>
  <c r="E107" i="2" s="1"/>
  <c r="C123" i="2"/>
  <c r="L511" i="1"/>
  <c r="D5" i="13"/>
  <c r="C103" i="2"/>
  <c r="C29" i="10"/>
  <c r="C21" i="10"/>
  <c r="F104" i="1"/>
  <c r="F185" i="1" s="1"/>
  <c r="G617" i="1" s="1"/>
  <c r="J617" i="1" s="1"/>
  <c r="H637" i="1"/>
  <c r="J637" i="1" s="1"/>
  <c r="C48" i="2"/>
  <c r="C55" i="2" s="1"/>
  <c r="C96" i="2" s="1"/>
  <c r="I450" i="1"/>
  <c r="I451" i="1" s="1"/>
  <c r="H632" i="1" s="1"/>
  <c r="L221" i="1"/>
  <c r="G650" i="1" s="1"/>
  <c r="G654" i="1" s="1"/>
  <c r="G161" i="1"/>
  <c r="C39" i="10" s="1"/>
  <c r="J330" i="1"/>
  <c r="J344" i="1" s="1"/>
  <c r="C18" i="10"/>
  <c r="G652" i="1"/>
  <c r="C113" i="2"/>
  <c r="F652" i="1"/>
  <c r="D6" i="13"/>
  <c r="C6" i="13" s="1"/>
  <c r="I652" i="1" l="1"/>
  <c r="G185" i="1"/>
  <c r="G618" i="1" s="1"/>
  <c r="J618" i="1" s="1"/>
  <c r="H636" i="1"/>
  <c r="G627" i="1"/>
  <c r="J627" i="1" s="1"/>
  <c r="C133" i="2"/>
  <c r="C136" i="2" s="1"/>
  <c r="C137" i="2" s="1"/>
  <c r="G636" i="1"/>
  <c r="G621" i="1"/>
  <c r="J621" i="1" s="1"/>
  <c r="C5" i="13"/>
  <c r="L249" i="1"/>
  <c r="L263" i="1" s="1"/>
  <c r="G622" i="1" s="1"/>
  <c r="J622" i="1" s="1"/>
  <c r="L514" i="1"/>
  <c r="L535" i="1" s="1"/>
  <c r="F539" i="1"/>
  <c r="K493" i="1"/>
  <c r="B156" i="2"/>
  <c r="G156" i="2" s="1"/>
  <c r="J632" i="1"/>
  <c r="I651" i="1"/>
  <c r="C36" i="10"/>
  <c r="L282" i="1"/>
  <c r="E110" i="2"/>
  <c r="E120" i="2" s="1"/>
  <c r="E137" i="2" s="1"/>
  <c r="G625" i="1"/>
  <c r="J625" i="1" s="1"/>
  <c r="C27" i="10"/>
  <c r="G662" i="1"/>
  <c r="G657" i="1"/>
  <c r="E33" i="13"/>
  <c r="D35" i="13" s="1"/>
  <c r="C8" i="13"/>
  <c r="C15" i="10"/>
  <c r="G616" i="1"/>
  <c r="J44" i="1"/>
  <c r="H611" i="1" s="1"/>
  <c r="J611" i="1" s="1"/>
  <c r="G43" i="2"/>
  <c r="H654" i="1"/>
  <c r="D15" i="10" l="1"/>
  <c r="C41" i="10"/>
  <c r="J636" i="1"/>
  <c r="C28" i="10"/>
  <c r="D27" i="10" s="1"/>
  <c r="F542" i="1"/>
  <c r="K539" i="1"/>
  <c r="K542" i="1" s="1"/>
  <c r="H662" i="1"/>
  <c r="H657" i="1"/>
  <c r="J616" i="1"/>
  <c r="D31" i="13"/>
  <c r="L330" i="1"/>
  <c r="L344" i="1" s="1"/>
  <c r="G623" i="1" s="1"/>
  <c r="J623" i="1" s="1"/>
  <c r="F650" i="1"/>
  <c r="C31" i="13" l="1"/>
  <c r="D33" i="13"/>
  <c r="D36" i="13" s="1"/>
  <c r="H646" i="1"/>
  <c r="D22" i="10"/>
  <c r="D11" i="10"/>
  <c r="D20" i="10"/>
  <c r="D23" i="10"/>
  <c r="C30" i="10"/>
  <c r="D25" i="10"/>
  <c r="D12" i="10"/>
  <c r="D13" i="10"/>
  <c r="D24" i="10"/>
  <c r="D26" i="10"/>
  <c r="D19" i="10"/>
  <c r="D21" i="10"/>
  <c r="D18" i="10"/>
  <c r="D17" i="10"/>
  <c r="D16" i="10"/>
  <c r="D10" i="10"/>
  <c r="D28" i="10" s="1"/>
  <c r="F654" i="1"/>
  <c r="I650" i="1"/>
  <c r="I654" i="1" s="1"/>
  <c r="D37" i="10"/>
  <c r="D35" i="10"/>
  <c r="D40" i="10"/>
  <c r="D38" i="10"/>
  <c r="D39" i="10"/>
  <c r="D36" i="10"/>
  <c r="D41" i="10" l="1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51B67D7-FE83-4C40-BF1B-392F14B8E53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18F35CB-C87F-4E60-9BCC-2868CC3AEA4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8D84161-1BDA-4609-89FB-02B92BFEF3D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118304A-4057-45F2-B232-AA35D17066D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512D7A3-272B-43C2-B205-6AD3A59FB17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90051CE-2BC0-4C6A-A0BF-350B621A1F1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35D2C92-748F-489F-95B2-16310147025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C91299E-6777-4088-9E54-19CC320C645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3A1E795-FE9F-4527-B94C-7A353AD81F0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03B6A9E-D942-4BFA-BE0E-B40C129FC94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C142A66-527C-4716-8DB5-7F7D8C41CF7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3367966-FFAF-45EB-B55D-EBE945A5DF9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<sst xmlns="http://schemas.openxmlformats.org/spreadsheetml/2006/main" count="3860" uniqueCount="897">
  <si>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</si>
  <si>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</si>
  <si>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</si>
  <si>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</si>
  <si>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</si>
  <si>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</si>
  <si>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</si>
  <si>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</si>
  <si>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</si>
  <si>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</si>
  <si>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</si>
  <si>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</si>
  <si>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</si>
  <si>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</si>
  <si>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</si>
  <si>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</si>
  <si>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</si>
  <si>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</si>
  <si>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</si>
  <si>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</si>
  <si>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</si>
  <si>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</si>
  <si>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</si>
  <si>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</si>
  <si>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</si>
  <si>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</si>
  <si>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</si>
  <si>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</si>
  <si>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</si>
  <si>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</si>
  <si>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</si>
  <si>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</si>
  <si>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</si>
  <si>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</si>
  <si>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</si>
  <si>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</si>
  <si>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</si>
  <si>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</si>
  <si>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</si>
  <si>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</si>
  <si>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</si>
  <si>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</si>
  <si>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</si>
  <si>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</si>
  <si>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</si>
  <si>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</si>
  <si>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</si>
  <si>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</si>
  <si>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</si>
  <si>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</si>
  <si>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</si>
  <si>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</si>
  <si>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</si>
  <si>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</si>
  <si>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</si>
  <si>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</si>
  <si>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</si>
  <si>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</si>
  <si>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</si>
  <si>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</si>
  <si>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</si>
  <si>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</si>
  <si>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</si>
  <si>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</si>
  <si>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</si>
  <si>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</si>
  <si>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</si>
  <si>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</si>
  <si>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</si>
  <si>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</si>
  <si>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</si>
  <si>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</si>
  <si>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</si>
  <si>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</si>
  <si>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</si>
  <si>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</si>
  <si>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</si>
  <si>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</si>
  <si>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</si>
  <si>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</si>
  <si>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</si>
  <si>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</si>
  <si>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</si>
  <si>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</si>
  <si>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</si>
  <si>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</si>
  <si>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</si>
  <si>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</si>
  <si>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</si>
  <si>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</si>
  <si>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</si>
  <si>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</si>
  <si>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</si>
  <si>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</si>
  <si>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</si>
  <si>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</si>
  <si>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</si>
  <si>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</si>
  <si>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</si>
  <si>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</si>
  <si>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</si>
  <si>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</si>
  <si>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</si>
  <si>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</si>
  <si>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</si>
  <si>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</si>
  <si>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</si>
  <si>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</si>
  <si>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</si>
  <si>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</si>
  <si>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</si>
  <si>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</si>
  <si>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</si>
  <si>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</si>
  <si>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</si>
  <si>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</si>
  <si>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</si>
  <si>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</si>
  <si>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</si>
  <si>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</si>
  <si>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</si>
  <si>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</si>
  <si>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</si>
  <si>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</si>
  <si>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</si>
  <si>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</si>
  <si>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</si>
  <si>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</si>
  <si>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</si>
  <si>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</si>
  <si>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</si>
  <si>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</si>
  <si>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</si>
  <si>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</si>
  <si>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</si>
  <si>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</si>
  <si>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</si>
  <si>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</si>
  <si>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</si>
  <si>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</si>
  <si>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</si>
  <si>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</si>
  <si>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</si>
  <si>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</si>
  <si>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</si>
  <si>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</si>
  <si>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</si>
  <si>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</si>
  <si>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</si>
  <si>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</si>
  <si>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</si>
  <si>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</si>
  <si>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</si>
  <si>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</si>
  <si>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</si>
  <si>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</si>
  <si>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</si>
  <si>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</si>
  <si>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</si>
  <si>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</si>
  <si>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</si>
  <si>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</si>
  <si>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</si>
  <si>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</si>
  <si>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</si>
  <si>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</si>
  <si>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</si>
  <si>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</si>
  <si>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</si>
  <si>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</si>
  <si>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</si>
  <si>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</si>
  <si>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</si>
  <si>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</si>
  <si>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</si>
  <si>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</si>
  <si>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</si>
  <si>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</si>
  <si>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</si>
  <si>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</si>
  <si>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</si>
  <si>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</si>
  <si>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</si>
  <si>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</si>
  <si>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</si>
  <si>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</si>
  <si>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</si>
  <si>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</si>
  <si>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</si>
  <si>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</si>
  <si>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</si>
  <si>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</si>
  <si>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</si>
  <si>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</si>
  <si>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</si>
  <si>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</si>
  <si>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</si>
  <si>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</si>
  <si>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</si>
  <si>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</si>
  <si>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</si>
  <si>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</si>
  <si>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</si>
  <si>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</si>
  <si>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</si>
  <si>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</si>
  <si>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</si>
  <si>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</si>
  <si>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</si>
  <si>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</si>
  <si>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</si>
  <si>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</si>
  <si>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</si>
  <si>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</si>
  <si>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</si>
  <si>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</si>
  <si>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</si>
  <si>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</si>
  <si>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</si>
  <si>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</si>
  <si>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</si>
  <si>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</si>
  <si>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</si>
  <si>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</si>
  <si>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</si>
  <si>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</si>
  <si>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</si>
  <si>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</si>
  <si>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</si>
  <si>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</si>
  <si>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</si>
  <si>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</si>
  <si>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</si>
  <si>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</si>
  <si>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</si>
  <si>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</si>
  <si>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</si>
  <si>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</si>
  <si>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</si>
  <si>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</si>
  <si>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</si>
  <si>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</si>
  <si>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</si>
  <si>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</si>
  <si>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</si>
  <si>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</si>
  <si>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</si>
  <si>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</si>
  <si>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</si>
  <si>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</si>
  <si>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</si>
  <si>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</si>
  <si>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</si>
  <si>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</si>
  <si>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</si>
  <si>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</si>
  <si>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</si>
  <si>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</si>
  <si>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</si>
  <si>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</si>
  <si>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</si>
  <si>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</si>
  <si>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</si>
  <si>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</si>
  <si>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</si>
  <si>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</si>
  <si>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</si>
  <si>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</si>
  <si>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</si>
  <si>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</si>
  <si>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</si>
  <si>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</si>
  <si>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</si>
  <si>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</si>
  <si>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</si>
  <si>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</si>
  <si>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</si>
  <si>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</si>
  <si>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</si>
  <si>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</si>
  <si>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</si>
  <si>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</si>
  <si>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</si>
  <si>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</si>
  <si>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</si>
  <si>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</si>
  <si>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</si>
  <si>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</si>
  <si>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</si>
  <si>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</si>
  <si>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</si>
  <si>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</si>
  <si>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</si>
  <si>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</si>
  <si>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</si>
  <si>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</si>
  <si>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</si>
  <si>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</si>
  <si>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</si>
  <si>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</si>
  <si>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</si>
  <si>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</si>
  <si>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</si>
  <si>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</si>
  <si>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</si>
  <si>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</si>
  <si>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</si>
  <si>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</si>
  <si>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</si>
  <si>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</si>
  <si>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</si>
  <si>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</si>
  <si>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</si>
  <si>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</si>
  <si>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</si>
  <si>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</si>
  <si>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</si>
  <si>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</si>
  <si>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</si>
  <si>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</si>
  <si>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</si>
  <si>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</si>
  <si>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</si>
  <si>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</si>
  <si>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</si>
  <si>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</si>
  <si>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</si>
  <si>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</si>
  <si>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</si>
  <si>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</si>
  <si>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</si>
  <si>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</si>
  <si>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</si>
  <si>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</si>
  <si>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</si>
  <si>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</si>
  <si>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</si>
  <si>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</si>
  <si>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</si>
  <si>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</si>
  <si>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</si>
  <si>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</si>
  <si>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</si>
  <si>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</si>
  <si>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</si>
  <si>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</si>
  <si>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</si>
  <si>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</si>
  <si>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</si>
  <si>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</si>
  <si>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</si>
  <si>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</si>
  <si>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</si>
  <si>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</si>
  <si>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</si>
  <si>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</si>
  <si>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</si>
  <si>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</si>
  <si>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</si>
  <si>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</si>
  <si>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</si>
  <si>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</si>
  <si>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</si>
  <si>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</si>
  <si>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</si>
  <si>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</si>
  <si>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</si>
  <si>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</si>
  <si>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</si>
  <si>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</si>
  <si>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</si>
  <si>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</si>
  <si>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</si>
  <si>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</si>
  <si>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</si>
  <si>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</si>
  <si>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</si>
  <si>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</si>
  <si>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</si>
  <si>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</si>
  <si>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</si>
  <si>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</si>
  <si>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</si>
  <si>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</si>
  <si>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</si>
  <si>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</si>
  <si>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</si>
  <si>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</si>
  <si>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</si>
  <si>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</si>
  <si>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</si>
  <si>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</si>
  <si>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</si>
  <si>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</si>
  <si>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</si>
  <si>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</si>
  <si>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</si>
  <si>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</si>
  <si>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</si>
  <si>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</si>
  <si>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</si>
  <si>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</si>
  <si>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</si>
  <si>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</si>
  <si>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</si>
  <si>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</si>
  <si>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</si>
  <si>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</si>
  <si>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</si>
  <si>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</si>
  <si>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</si>
  <si>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</si>
  <si>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</si>
  <si>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</si>
  <si>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</si>
  <si>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</si>
  <si>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</si>
  <si>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</si>
  <si>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</si>
  <si>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</si>
  <si>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</si>
  <si>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</si>
  <si>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</si>
  <si>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</si>
  <si>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</si>
  <si>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</si>
  <si>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</si>
  <si>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</si>
  <si>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</si>
  <si>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</si>
  <si>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</si>
  <si>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</si>
  <si>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</si>
  <si>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</si>
  <si>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</si>
  <si>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</si>
  <si>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</si>
  <si>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</si>
  <si>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</si>
  <si>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</si>
  <si>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</si>
  <si>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</si>
  <si>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</si>
  <si>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</si>
  <si>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</si>
  <si>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</si>
  <si>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</si>
  <si>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</si>
  <si>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</si>
  <si>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</si>
  <si>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</si>
  <si>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</si>
  <si>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</si>
  <si>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</si>
  <si>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</si>
  <si>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</si>
  <si>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</si>
  <si>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</si>
  <si>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</si>
  <si>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</si>
  <si>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</si>
  <si>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</si>
  <si>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</si>
  <si>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</si>
  <si>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</si>
  <si>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</si>
  <si>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</si>
  <si>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</si>
  <si>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</si>
  <si>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</si>
  <si>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</si>
  <si>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</si>
  <si>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</si>
  <si>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</si>
  <si>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</si>
  <si>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</si>
  <si>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</si>
  <si>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</si>
  <si>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</si>
  <si>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</si>
  <si>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</si>
  <si>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</si>
  <si>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</si>
  <si>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</si>
  <si>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</si>
  <si>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</si>
  <si>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</si>
  <si>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</si>
  <si>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</si>
  <si>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</si>
  <si>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</si>
  <si>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</si>
  <si>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</si>
  <si>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</si>
  <si>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</si>
  <si>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</si>
  <si>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</si>
  <si>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</si>
  <si>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</si>
  <si>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</si>
  <si>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</si>
  <si>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</si>
  <si>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</si>
  <si>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</si>
  <si>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</si>
  <si>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</si>
  <si>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</si>
  <si>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</si>
  <si>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</si>
  <si>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</si>
  <si>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</si>
  <si>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</si>
  <si>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</si>
  <si>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</si>
  <si>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</si>
  <si>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</si>
  <si>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</si>
  <si>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</si>
  <si>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</si>
  <si>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</si>
  <si>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</si>
  <si>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</si>
  <si>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</si>
  <si>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</si>
  <si>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</si>
  <si>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</si>
  <si>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</si>
  <si>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</si>
  <si>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</si>
  <si>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</si>
  <si>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</si>
  <si>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</si>
  <si>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</si>
  <si>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</si>
  <si>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</si>
  <si>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</si>
  <si>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</si>
  <si>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</si>
  <si>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</si>
  <si>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</si>
  <si>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</si>
  <si>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</si>
  <si>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</si>
  <si>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</si>
  <si>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</si>
  <si>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</si>
  <si>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</si>
  <si>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</si>
  <si>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</si>
  <si>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</si>
  <si>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</si>
  <si>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</si>
  <si>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</si>
  <si>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</si>
  <si>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</si>
  <si>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</si>
  <si>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</si>
  <si>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</si>
  <si>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</si>
  <si>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</si>
  <si>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</si>
  <si>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</si>
  <si>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</si>
  <si>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</si>
  <si>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</si>
  <si>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</si>
  <si>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</si>
  <si>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</si>
  <si>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</si>
  <si>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</si>
  <si>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</si>
  <si>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</si>
  <si>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</si>
  <si>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</si>
  <si>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</si>
  <si>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</si>
  <si>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</si>
  <si>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</si>
  <si>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</si>
  <si>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</si>
  <si>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</si>
  <si>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</si>
  <si>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</si>
  <si>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</si>
  <si>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</si>
  <si>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</si>
  <si>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</si>
  <si>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</si>
  <si>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</si>
  <si>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</si>
  <si>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</si>
  <si>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</si>
  <si>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</si>
  <si>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</si>
  <si>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</si>
  <si>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</si>
  <si>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</si>
  <si>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</si>
  <si>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</si>
  <si>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</si>
  <si>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</si>
  <si>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</si>
  <si>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</si>
  <si>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</si>
  <si>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</si>
  <si>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</si>
  <si>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</si>
  <si>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</si>
  <si>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</si>
  <si>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</si>
  <si>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</si>
  <si>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</si>
  <si>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</si>
  <si>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</si>
  <si>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</si>
  <si>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</si>
  <si>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</si>
  <si>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</si>
  <si>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</si>
  <si>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</si>
  <si>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</si>
  <si>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</si>
  <si>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</si>
  <si>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</si>
  <si>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</si>
  <si>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</si>
  <si>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</si>
  <si>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</si>
  <si>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</si>
  <si>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</si>
  <si>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</si>
  <si>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</si>
  <si>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</si>
  <si>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</si>
  <si>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</si>
  <si>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</si>
  <si>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</si>
  <si>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</si>
  <si>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</si>
  <si>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</si>
  <si>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</si>
  <si>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</si>
  <si>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</si>
  <si>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</si>
  <si>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</si>
  <si>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</si>
  <si>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</si>
  <si>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</si>
  <si>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</si>
  <si>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</si>
  <si>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</si>
  <si>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</si>
  <si>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</si>
  <si>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</si>
  <si>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</si>
  <si>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</si>
  <si>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</si>
  <si>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</si>
  <si>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</si>
  <si>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</si>
  <si>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</si>
  <si>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</si>
  <si>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</si>
  <si>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</si>
  <si>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</si>
  <si>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</si>
  <si>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</si>
  <si>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</si>
  <si>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</si>
  <si>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</si>
  <si>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</si>
  <si>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</si>
  <si>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</si>
  <si>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</si>
  <si>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</si>
  <si>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</si>
  <si>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</si>
  <si>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</si>
  <si>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</si>
  <si>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</si>
  <si>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</si>
  <si>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</si>
  <si>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</si>
  <si>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</si>
  <si>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</si>
  <si>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</si>
  <si>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</si>
  <si>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</si>
  <si>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</si>
  <si>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</si>
  <si>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</si>
  <si>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</si>
  <si>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</si>
  <si>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</si>
  <si>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</si>
  <si>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</si>
  <si>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</si>
  <si>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</si>
  <si>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</si>
  <si>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</si>
  <si>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</si>
  <si>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</si>
  <si>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</si>
  <si>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</si>
  <si>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</si>
  <si>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</si>
  <si>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</si>
  <si>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</si>
  <si>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</si>
  <si>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</si>
  <si>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</si>
  <si>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</si>
  <si>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</si>
  <si>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</si>
  <si>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</si>
  <si>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</si>
  <si>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</si>
  <si>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</si>
  <si>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</si>
  <si>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</si>
  <si>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</si>
  <si>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</si>
  <si>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</si>
  <si>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</si>
  <si>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</si>
  <si>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</si>
  <si>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</si>
  <si>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</si>
  <si>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</si>
  <si>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</si>
  <si>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</si>
  <si>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</si>
  <si>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</si>
  <si>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</si>
  <si>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</si>
  <si>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</si>
  <si>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</si>
  <si>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</si>
  <si>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</si>
  <si>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</si>
  <si>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</si>
  <si>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</si>
  <si>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</si>
  <si>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</si>
  <si>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</si>
  <si>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</si>
  <si>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</si>
  <si>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</si>
  <si>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</si>
  <si>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</si>
  <si>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</si>
  <si>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</si>
  <si>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</si>
  <si>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</si>
  <si>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</si>
  <si>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</si>
  <si>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</si>
  <si>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</si>
  <si>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</si>
  <si>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</si>
  <si>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</si>
  <si>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</si>
  <si>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</si>
  <si>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</si>
  <si>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</si>
  <si>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</si>
  <si>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</si>
  <si>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</si>
  <si>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</si>
  <si>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</si>
  <si>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</si>
  <si>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</si>
  <si>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</si>
  <si>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</si>
  <si>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</si>
  <si>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</si>
  <si>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</si>
  <si>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</si>
  <si>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</si>
  <si>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</si>
  <si>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</si>
  <si>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</si>
  <si>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</si>
  <si>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</si>
  <si>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</si>
  <si>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</si>
  <si>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</si>
  <si>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</si>
  <si>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</si>
  <si>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</si>
  <si>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</si>
  <si>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</si>
  <si>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</si>
  <si>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</si>
  <si>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</si>
  <si>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</si>
  <si>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</si>
  <si>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</si>
  <si>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</si>
  <si>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</si>
  <si>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</si>
  <si>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</si>
  <si>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</si>
  <si>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</si>
  <si>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</si>
  <si>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</si>
  <si>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</si>
  <si>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</si>
  <si>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</si>
  <si>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</si>
  <si>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</si>
  <si>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</si>
  <si>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</si>
  <si>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</si>
  <si>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</si>
  <si>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</si>
  <si>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</si>
  <si>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</si>
  <si>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</si>
  <si>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</si>
  <si>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</si>
  <si>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</si>
  <si>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</si>
  <si>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</si>
  <si>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</si>
  <si>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</si>
  <si>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</si>
  <si>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</si>
  <si>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</si>
  <si>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</si>
  <si>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</si>
  <si>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</si>
  <si>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</si>
  <si>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</si>
  <si>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</si>
  <si>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</si>
  <si>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</si>
  <si>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</si>
  <si>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</si>
  <si>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</si>
  <si>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</si>
  <si>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</si>
  <si>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</si>
  <si>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</si>
  <si>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</si>
  <si>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</si>
  <si>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</si>
  <si>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</si>
  <si>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</si>
  <si>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</si>
  <si>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</si>
  <si>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</si>
  <si>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</si>
  <si>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</si>
  <si>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</si>
  <si>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</si>
  <si>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</si>
  <si>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</si>
  <si>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</si>
  <si>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</si>
  <si>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</si>
  <si>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</si>
  <si>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</si>
  <si>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</si>
  <si>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</si>
  <si>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</si>
  <si>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</si>
  <si>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</si>
  <si>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</si>
  <si>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</si>
  <si>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</si>
  <si>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</si>
  <si>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</si>
  <si>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</si>
  <si>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</si>
  <si>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</si>
  <si>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</si>
  <si>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</si>
  <si>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</si>
  <si>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</si>
  <si>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</si>
  <si>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</si>
  <si>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</si>
  <si>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</si>
  <si>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</si>
  <si>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</si>
  <si>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</si>
  <si>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</si>
  <si>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</si>
  <si>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</si>
  <si>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</si>
  <si>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</si>
  <si>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</si>
  <si>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</si>
  <si>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07/08</t>
  </si>
  <si>
    <t>08/28</t>
  </si>
  <si>
    <t>Marlborough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</si>
</sst>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5502-FFC7-4B22-AD0D-762FA93C8F4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L1" sqref="L1:L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339</v>
      </c>
      <c r="C2" s="21">
        <v>339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252109.84-28122.08</f>
        <v>223987.76</v>
      </c>
      <c r="G9" s="18">
        <v>0</v>
      </c>
      <c r="H9" s="18"/>
      <c r="I9" s="18">
        <v>2224312.94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8727.76</v>
      </c>
      <c r="G10" s="18"/>
      <c r="H10" s="18"/>
      <c r="I10" s="18"/>
      <c r="J10" s="67">
        <f>SUM(I432)</f>
        <v>358884.1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16236.44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2395.3000000000002</v>
      </c>
      <c r="G13" s="18"/>
      <c r="H13" s="18">
        <v>28325.11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251347.26</v>
      </c>
      <c r="G19" s="41">
        <f>SUM(G9:G18)</f>
        <v>0</v>
      </c>
      <c r="H19" s="41">
        <f>SUM(H9:H18)</f>
        <v>28325.11</v>
      </c>
      <c r="I19" s="41">
        <f>SUM(I9:I18)</f>
        <v>2224312.94</v>
      </c>
      <c r="J19" s="41">
        <f>SUM(J9:J18)</f>
        <v>358884.1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16236.44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3269.7</v>
      </c>
      <c r="G24" s="18"/>
      <c r="H24" s="18">
        <v>3307.42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25109.26</v>
      </c>
      <c r="G25" s="18"/>
      <c r="H25" s="18">
        <v>365.58</v>
      </c>
      <c r="I25" s="18">
        <v>623690.6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>
        <f>251656.4+520207.62</f>
        <v>771864.02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4125.8999999999996</v>
      </c>
      <c r="G29" s="18"/>
      <c r="H29" s="18">
        <v>8415.67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32504.86</v>
      </c>
      <c r="G33" s="41">
        <f>SUM(G23:G32)</f>
        <v>0</v>
      </c>
      <c r="H33" s="41">
        <f>SUM(H23:H32)</f>
        <v>28325.11</v>
      </c>
      <c r="I33" s="41">
        <f>SUM(I23:I32)</f>
        <v>1395554.62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>
        <f>62260.6</f>
        <v>62260.6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v>766497.72</v>
      </c>
      <c r="J41" s="13">
        <f>SUM(I449)</f>
        <v>358884.1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218842.4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218842.4</v>
      </c>
      <c r="G43" s="41">
        <f>SUM(G35:G42)</f>
        <v>0</v>
      </c>
      <c r="H43" s="41">
        <f>SUM(H35:H42)</f>
        <v>0</v>
      </c>
      <c r="I43" s="41">
        <f>SUM(I35:I42)</f>
        <v>828758.32</v>
      </c>
      <c r="J43" s="41">
        <f>SUM(J35:J42)</f>
        <v>358884.1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251347.26</v>
      </c>
      <c r="G44" s="41">
        <f>G43+G33</f>
        <v>0</v>
      </c>
      <c r="H44" s="41">
        <f>H43+H33</f>
        <v>28325.11</v>
      </c>
      <c r="I44" s="41">
        <f>I43+I33</f>
        <v>2224312.94</v>
      </c>
      <c r="J44" s="41">
        <f>J43+J33</f>
        <v>358884.1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2455704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2455704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2057.88</v>
      </c>
      <c r="G88" s="18"/>
      <c r="H88" s="18"/>
      <c r="I88" s="18"/>
      <c r="J88" s="18">
        <f>-225.58+108.53</f>
        <v>-117.05000000000001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22242.07+3499.3+4018.92+1639.5</f>
        <v>31399.79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5790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63625.08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5274.67+3525.72</f>
        <v>8800.39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80273.350000000006</v>
      </c>
      <c r="G103" s="41">
        <f>SUM(G88:G102)</f>
        <v>31399.79</v>
      </c>
      <c r="H103" s="41">
        <f>SUM(H88:H102)</f>
        <v>0</v>
      </c>
      <c r="I103" s="41">
        <f>SUM(I88:I102)</f>
        <v>0</v>
      </c>
      <c r="J103" s="41">
        <f>SUM(J88:J102)</f>
        <v>-117.05000000000001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2535977.35</v>
      </c>
      <c r="G104" s="41">
        <f>G52+G103</f>
        <v>31399.79</v>
      </c>
      <c r="H104" s="41">
        <f>H52+H71+H86+H103</f>
        <v>0</v>
      </c>
      <c r="I104" s="41">
        <f>I52+I103</f>
        <v>0</v>
      </c>
      <c r="J104" s="41">
        <f>J52+J103</f>
        <v>-117.05000000000001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860822.1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416576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330269.90000000002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1607668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364119.18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165535.63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955.63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529654.81000000006</v>
      </c>
      <c r="G128" s="41">
        <f>SUM(G115:G127)</f>
        <v>955.63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2137322.81</v>
      </c>
      <c r="G132" s="41">
        <f>G113+SUM(G128:G129)</f>
        <v>955.63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720.89+23567.89+13278.17+11194.83</f>
        <v>48761.78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11871.91+12223.6</f>
        <v>24095.510000000002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38150.959999999999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28090.36+1497.75</f>
        <v>29588.11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89814.82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89814.82</v>
      </c>
      <c r="G154" s="41">
        <f>SUM(G142:G153)</f>
        <v>38150.959999999999</v>
      </c>
      <c r="H154" s="41">
        <f>SUM(H142:H153)</f>
        <v>102445.40000000001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89814.82</v>
      </c>
      <c r="G161" s="41">
        <f>G139+G154+SUM(G155:G160)</f>
        <v>38150.959999999999</v>
      </c>
      <c r="H161" s="41">
        <f>H139+H154+SUM(H155:H160)</f>
        <v>102445.40000000001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19795.98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f>101432.92+130000</f>
        <v>231432.91999999998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231432.91999999998</v>
      </c>
      <c r="G175" s="41">
        <f>SUM(G171:G174)</f>
        <v>19795.98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231432.91999999998</v>
      </c>
      <c r="G184" s="41">
        <f>G175+SUM(G180:G183)</f>
        <v>19795.98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4994547.9000000004</v>
      </c>
      <c r="G185" s="47">
        <f>G104+G132+G161+G184</f>
        <v>90302.36</v>
      </c>
      <c r="H185" s="47">
        <f>H104+H132+H161+H184</f>
        <v>102445.40000000001</v>
      </c>
      <c r="I185" s="47">
        <f>I104+I132+I161+I184</f>
        <v>0</v>
      </c>
      <c r="J185" s="47">
        <f>J104+J132+J184</f>
        <v>-117.05000000000001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911180.53</v>
      </c>
      <c r="G189" s="18">
        <v>343614.11</v>
      </c>
      <c r="H189" s="18">
        <v>4373.0200000000004</v>
      </c>
      <c r="I189" s="18">
        <v>50899.77</v>
      </c>
      <c r="J189" s="18">
        <v>148.18</v>
      </c>
      <c r="K189" s="18"/>
      <c r="L189" s="19">
        <f>SUM(F189:K189)</f>
        <v>1310215.6100000001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223619.56</v>
      </c>
      <c r="G190" s="18">
        <v>58277.88</v>
      </c>
      <c r="H190" s="18">
        <v>244439.56</v>
      </c>
      <c r="I190" s="18">
        <v>650.87</v>
      </c>
      <c r="J190" s="18">
        <v>605.04</v>
      </c>
      <c r="K190" s="18"/>
      <c r="L190" s="19">
        <f>SUM(F190:K190)</f>
        <v>527592.91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9459.99+1808.44</f>
        <v>11268.43</v>
      </c>
      <c r="G192" s="18">
        <f>1102.27+145.42</f>
        <v>1247.69</v>
      </c>
      <c r="H192" s="18">
        <v>7873.88</v>
      </c>
      <c r="I192" s="18">
        <v>2192.7800000000002</v>
      </c>
      <c r="J192" s="18">
        <v>359.25</v>
      </c>
      <c r="K192" s="18">
        <v>6087</v>
      </c>
      <c r="L192" s="19">
        <f>SUM(F192:K192)</f>
        <v>29029.03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61493.9+41472.08</f>
        <v>102965.98000000001</v>
      </c>
      <c r="G194" s="18">
        <f>21831.51+3334.5</f>
        <v>25166.01</v>
      </c>
      <c r="H194" s="18">
        <f>200+3607.09+23360+40570.72+1825+14840.87</f>
        <v>84403.68</v>
      </c>
      <c r="I194" s="18">
        <f>68.48+893.5+200+149.42</f>
        <v>1311.4</v>
      </c>
      <c r="J194" s="18">
        <f>59.99+448.39</f>
        <v>508.38</v>
      </c>
      <c r="K194" s="18">
        <v>155</v>
      </c>
      <c r="L194" s="19">
        <f t="shared" ref="L194:L200" si="0">SUM(F194:K194)</f>
        <v>214510.44999999998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2220+28484.77</f>
        <v>30704.77</v>
      </c>
      <c r="G195" s="18">
        <f>344.78+6985+2291.08</f>
        <v>9620.86</v>
      </c>
      <c r="H195" s="18">
        <f>3908+165</f>
        <v>4073</v>
      </c>
      <c r="I195" s="18">
        <v>4854.1899999999996</v>
      </c>
      <c r="J195" s="18">
        <v>109.52</v>
      </c>
      <c r="K195" s="18"/>
      <c r="L195" s="19">
        <f t="shared" si="0"/>
        <v>49362.340000000004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6575.25+2400</f>
        <v>8975.25</v>
      </c>
      <c r="G196" s="18">
        <f>528.37+192.98+3000</f>
        <v>3721.35</v>
      </c>
      <c r="H196" s="18">
        <f>100.64+200+7500+2617.62+200+176537</f>
        <v>187155.26</v>
      </c>
      <c r="I196" s="18">
        <v>872.27</v>
      </c>
      <c r="J196" s="18"/>
      <c r="K196" s="18">
        <v>3101.6</v>
      </c>
      <c r="L196" s="19">
        <f t="shared" si="0"/>
        <v>203825.73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109651.92</v>
      </c>
      <c r="G197" s="18">
        <v>39128.080000000002</v>
      </c>
      <c r="H197" s="18">
        <v>5446.36</v>
      </c>
      <c r="I197" s="18">
        <f>1608.18+625.67</f>
        <v>2233.85</v>
      </c>
      <c r="J197" s="18"/>
      <c r="K197" s="18">
        <v>859.8</v>
      </c>
      <c r="L197" s="19">
        <f t="shared" si="0"/>
        <v>157320.00999999998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61193.599999999999</v>
      </c>
      <c r="G199" s="18">
        <v>45749.77</v>
      </c>
      <c r="H199" s="18">
        <v>43265.74</v>
      </c>
      <c r="I199" s="18">
        <v>61016.67</v>
      </c>
      <c r="J199" s="18">
        <v>409.35</v>
      </c>
      <c r="K199" s="18"/>
      <c r="L199" s="19">
        <f t="shared" si="0"/>
        <v>211635.12999999998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82122+24442.2+7049.34+2570.5</f>
        <v>116184.04</v>
      </c>
      <c r="I200" s="18"/>
      <c r="J200" s="18"/>
      <c r="K200" s="18"/>
      <c r="L200" s="19">
        <f t="shared" si="0"/>
        <v>116184.04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693.8</v>
      </c>
      <c r="H201" s="18">
        <f>560+13757.71</f>
        <v>14317.71</v>
      </c>
      <c r="I201" s="18">
        <v>7985.33</v>
      </c>
      <c r="J201" s="18"/>
      <c r="K201" s="18"/>
      <c r="L201" s="19">
        <f>SUM(F201:K201)</f>
        <v>22996.839999999997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1459560.04</v>
      </c>
      <c r="G203" s="41">
        <f t="shared" si="1"/>
        <v>527219.55000000005</v>
      </c>
      <c r="H203" s="41">
        <f t="shared" si="1"/>
        <v>711532.25</v>
      </c>
      <c r="I203" s="41">
        <f t="shared" si="1"/>
        <v>132017.12999999998</v>
      </c>
      <c r="J203" s="41">
        <f t="shared" si="1"/>
        <v>2139.7199999999998</v>
      </c>
      <c r="K203" s="41">
        <f t="shared" si="1"/>
        <v>10203.4</v>
      </c>
      <c r="L203" s="41">
        <f t="shared" si="1"/>
        <v>2842672.0899999994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629553.11</v>
      </c>
      <c r="I225" s="18"/>
      <c r="J225" s="18"/>
      <c r="K225" s="18"/>
      <c r="L225" s="19">
        <f>SUM(F225:K225)</f>
        <v>629553.11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827756.07</v>
      </c>
      <c r="I226" s="18"/>
      <c r="J226" s="18"/>
      <c r="K226" s="18"/>
      <c r="L226" s="19">
        <f>SUM(F226:K226)</f>
        <v>827756.07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27373+8420</f>
        <v>35793</v>
      </c>
      <c r="I236" s="18"/>
      <c r="J236" s="18"/>
      <c r="K236" s="18"/>
      <c r="L236" s="19">
        <f t="shared" si="4"/>
        <v>35793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1493102.18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1493102.18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>
        <v>5790</v>
      </c>
      <c r="L245" s="19">
        <f t="shared" si="6"/>
        <v>5790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5790</v>
      </c>
      <c r="L248" s="41">
        <f>SUM(F248:K248)</f>
        <v>5790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1459560.04</v>
      </c>
      <c r="G249" s="41">
        <f t="shared" si="8"/>
        <v>527219.55000000005</v>
      </c>
      <c r="H249" s="41">
        <f t="shared" si="8"/>
        <v>2204634.4299999997</v>
      </c>
      <c r="I249" s="41">
        <f t="shared" si="8"/>
        <v>132017.12999999998</v>
      </c>
      <c r="J249" s="41">
        <f t="shared" si="8"/>
        <v>2139.7199999999998</v>
      </c>
      <c r="K249" s="41">
        <f t="shared" si="8"/>
        <v>15993.4</v>
      </c>
      <c r="L249" s="41">
        <f t="shared" si="8"/>
        <v>4341564.2699999996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775941.08</v>
      </c>
      <c r="L252" s="19">
        <f>SUM(F252:K252)</f>
        <v>775941.08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43138.32</v>
      </c>
      <c r="L253" s="19">
        <f>SUM(F253:K253)</f>
        <v>43138.32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19795.98</v>
      </c>
      <c r="L255" s="19">
        <f>SUM(F255:K255)</f>
        <v>19795.98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838875.37999999989</v>
      </c>
      <c r="L262" s="41">
        <f t="shared" si="9"/>
        <v>838875.37999999989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1459560.04</v>
      </c>
      <c r="G263" s="42">
        <f t="shared" si="11"/>
        <v>527219.55000000005</v>
      </c>
      <c r="H263" s="42">
        <f t="shared" si="11"/>
        <v>2204634.4299999997</v>
      </c>
      <c r="I263" s="42">
        <f t="shared" si="11"/>
        <v>132017.12999999998</v>
      </c>
      <c r="J263" s="42">
        <f t="shared" si="11"/>
        <v>2139.7199999999998</v>
      </c>
      <c r="K263" s="42">
        <f t="shared" si="11"/>
        <v>854868.77999999991</v>
      </c>
      <c r="L263" s="42">
        <f t="shared" si="11"/>
        <v>5180439.6499999994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9195.02+9195.27</f>
        <v>18390.29</v>
      </c>
      <c r="G268" s="18">
        <f>245.67+245.67+26.68+26.68+27.55+27.6+703.25+703.54+842.29+842.32+29.33+29.5</f>
        <v>3750.08</v>
      </c>
      <c r="H268" s="18">
        <v>6.6</v>
      </c>
      <c r="I268" s="18">
        <f>6049.21+110.49+975.81+1710.87</f>
        <v>8846.380000000001</v>
      </c>
      <c r="J268" s="18"/>
      <c r="K268" s="18"/>
      <c r="L268" s="19">
        <f>SUM(F268:K268)</f>
        <v>30993.350000000002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510</v>
      </c>
      <c r="G271" s="18">
        <f>39.02+1.63</f>
        <v>40.650000000000006</v>
      </c>
      <c r="H271" s="18"/>
      <c r="I271" s="18">
        <v>141.85</v>
      </c>
      <c r="J271" s="18"/>
      <c r="K271" s="18"/>
      <c r="L271" s="19">
        <f>SUM(F271:K271)</f>
        <v>692.5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442.92+1000</f>
        <v>1442.92</v>
      </c>
      <c r="I273" s="18"/>
      <c r="J273" s="18"/>
      <c r="K273" s="18"/>
      <c r="L273" s="19">
        <f t="shared" ref="L273:L279" si="12">SUM(F273:K273)</f>
        <v>1442.92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7375</v>
      </c>
      <c r="G274" s="18">
        <f>564.19+476.48</f>
        <v>1040.67</v>
      </c>
      <c r="H274" s="18">
        <f>3000+4750+7200+350+13680+13082</f>
        <v>42062</v>
      </c>
      <c r="I274" s="18">
        <v>10785</v>
      </c>
      <c r="J274" s="18"/>
      <c r="K274" s="18"/>
      <c r="L274" s="19">
        <f t="shared" si="12"/>
        <v>61262.67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f>2544+1611</f>
        <v>4155</v>
      </c>
      <c r="I275" s="18"/>
      <c r="J275" s="18"/>
      <c r="K275" s="18"/>
      <c r="L275" s="19">
        <f t="shared" si="12"/>
        <v>4155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3598.96</v>
      </c>
      <c r="L277" s="19">
        <f t="shared" si="12"/>
        <v>3598.96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300</v>
      </c>
      <c r="J280" s="18"/>
      <c r="K280" s="18"/>
      <c r="L280" s="19">
        <f>SUM(F280:K280)</f>
        <v>300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26275.29</v>
      </c>
      <c r="G282" s="42">
        <f t="shared" si="13"/>
        <v>4831.3999999999996</v>
      </c>
      <c r="H282" s="42">
        <f t="shared" si="13"/>
        <v>47666.52</v>
      </c>
      <c r="I282" s="42">
        <f t="shared" si="13"/>
        <v>20073.230000000003</v>
      </c>
      <c r="J282" s="42">
        <f t="shared" si="13"/>
        <v>0</v>
      </c>
      <c r="K282" s="42">
        <f t="shared" si="13"/>
        <v>3598.96</v>
      </c>
      <c r="L282" s="41">
        <f t="shared" si="13"/>
        <v>102445.40000000001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26275.29</v>
      </c>
      <c r="G330" s="41">
        <f t="shared" si="20"/>
        <v>4831.3999999999996</v>
      </c>
      <c r="H330" s="41">
        <f t="shared" si="20"/>
        <v>47666.52</v>
      </c>
      <c r="I330" s="41">
        <f t="shared" si="20"/>
        <v>20073.230000000003</v>
      </c>
      <c r="J330" s="41">
        <f t="shared" si="20"/>
        <v>0</v>
      </c>
      <c r="K330" s="41">
        <f t="shared" si="20"/>
        <v>3598.96</v>
      </c>
      <c r="L330" s="41">
        <f t="shared" si="20"/>
        <v>102445.40000000001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26275.29</v>
      </c>
      <c r="G344" s="41">
        <f>G330</f>
        <v>4831.3999999999996</v>
      </c>
      <c r="H344" s="41">
        <f>H330</f>
        <v>47666.52</v>
      </c>
      <c r="I344" s="41">
        <f>I330</f>
        <v>20073.230000000003</v>
      </c>
      <c r="J344" s="41">
        <f>J330</f>
        <v>0</v>
      </c>
      <c r="K344" s="47">
        <f>K330+K343</f>
        <v>3598.96</v>
      </c>
      <c r="L344" s="41">
        <f>L330+L343</f>
        <v>102445.40000000001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33284.46</v>
      </c>
      <c r="G350" s="18">
        <f>11462.32+649.99+56.7+61.23+2449.07+1832.51+620.42</f>
        <v>17132.239999999998</v>
      </c>
      <c r="H350" s="18">
        <f>5000+827.7</f>
        <v>5827.7</v>
      </c>
      <c r="I350" s="18">
        <f>2390.3+30588.68</f>
        <v>32978.980000000003</v>
      </c>
      <c r="J350" s="18">
        <v>179.98</v>
      </c>
      <c r="K350" s="18">
        <v>899</v>
      </c>
      <c r="L350" s="13">
        <f>SUM(F350:K350)</f>
        <v>90302.36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33284.46</v>
      </c>
      <c r="G354" s="47">
        <f t="shared" si="22"/>
        <v>17132.239999999998</v>
      </c>
      <c r="H354" s="47">
        <f t="shared" si="22"/>
        <v>5827.7</v>
      </c>
      <c r="I354" s="47">
        <f t="shared" si="22"/>
        <v>32978.980000000003</v>
      </c>
      <c r="J354" s="47">
        <f t="shared" si="22"/>
        <v>179.98</v>
      </c>
      <c r="K354" s="47">
        <f t="shared" si="22"/>
        <v>899</v>
      </c>
      <c r="L354" s="47">
        <f t="shared" si="22"/>
        <v>90302.36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30588.68</v>
      </c>
      <c r="G359" s="18"/>
      <c r="H359" s="18"/>
      <c r="I359" s="56">
        <f>SUM(F359:H359)</f>
        <v>30588.68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2390.3000000000002</v>
      </c>
      <c r="G360" s="63"/>
      <c r="H360" s="63"/>
      <c r="I360" s="56">
        <f>SUM(F360:H360)</f>
        <v>2390.3000000000002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32978.980000000003</v>
      </c>
      <c r="G361" s="47">
        <f>SUM(G359:G360)</f>
        <v>0</v>
      </c>
      <c r="H361" s="47">
        <f>SUM(H359:H360)</f>
        <v>0</v>
      </c>
      <c r="I361" s="47">
        <f>SUM(I359:I360)</f>
        <v>32978.980000000003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129870</v>
      </c>
      <c r="I368" s="18"/>
      <c r="J368" s="18"/>
      <c r="K368" s="18"/>
      <c r="L368" s="13">
        <f t="shared" si="23"/>
        <v>129870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1650+7507366.4+203.52+1418+13030.9+30251.71</f>
        <v>7553920.5300000003</v>
      </c>
      <c r="I370" s="18">
        <f>849.71-3164.79+44527.69</f>
        <v>42212.61</v>
      </c>
      <c r="J370" s="18">
        <v>157036.82</v>
      </c>
      <c r="K370" s="18">
        <v>200</v>
      </c>
      <c r="L370" s="13">
        <f t="shared" si="23"/>
        <v>7753369.9600000009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3209.14</v>
      </c>
      <c r="I372" s="18"/>
      <c r="J372" s="18">
        <v>54441</v>
      </c>
      <c r="K372" s="18"/>
      <c r="L372" s="13">
        <f t="shared" si="23"/>
        <v>57650.14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148455.32</v>
      </c>
      <c r="L373" s="13">
        <f t="shared" si="23"/>
        <v>148455.32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7686999.6699999999</v>
      </c>
      <c r="I374" s="41">
        <f t="shared" si="24"/>
        <v>42212.61</v>
      </c>
      <c r="J374" s="47">
        <f t="shared" si="24"/>
        <v>211477.82</v>
      </c>
      <c r="K374" s="47">
        <f t="shared" si="24"/>
        <v>148655.32</v>
      </c>
      <c r="L374" s="47">
        <f t="shared" si="24"/>
        <v>8089345.4200000009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108.53</v>
      </c>
      <c r="I381" s="18"/>
      <c r="J381" s="24" t="s">
        <v>312</v>
      </c>
      <c r="K381" s="24" t="s">
        <v>312</v>
      </c>
      <c r="L381" s="56">
        <f t="shared" si="25"/>
        <v>108.53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108.53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108.53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-225.58</v>
      </c>
      <c r="I390" s="18"/>
      <c r="J390" s="24" t="s">
        <v>312</v>
      </c>
      <c r="K390" s="24" t="s">
        <v>312</v>
      </c>
      <c r="L390" s="56">
        <f t="shared" si="26"/>
        <v>-225.58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-225.58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-225.58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-117.05000000000001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-117.05000000000001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235793.45</v>
      </c>
      <c r="G432" s="18">
        <v>123090.65</v>
      </c>
      <c r="H432" s="18"/>
      <c r="I432" s="56">
        <f t="shared" si="33"/>
        <v>358884.1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235793.45</v>
      </c>
      <c r="G438" s="13">
        <f>SUM(G431:G437)</f>
        <v>123090.65</v>
      </c>
      <c r="H438" s="13">
        <f>SUM(H431:H437)</f>
        <v>0</v>
      </c>
      <c r="I438" s="13">
        <f>SUM(I431:I437)</f>
        <v>358884.1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235793.45</v>
      </c>
      <c r="G449" s="18">
        <v>123090.65</v>
      </c>
      <c r="H449" s="18"/>
      <c r="I449" s="56">
        <f>SUM(F449:H449)</f>
        <v>358884.1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235793.45</v>
      </c>
      <c r="G450" s="83">
        <f>SUM(G446:G449)</f>
        <v>123090.65</v>
      </c>
      <c r="H450" s="83">
        <f>SUM(H446:H449)</f>
        <v>0</v>
      </c>
      <c r="I450" s="83">
        <f>SUM(I446:I449)</f>
        <v>358884.1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235793.45</v>
      </c>
      <c r="G451" s="42">
        <f>G444+G450</f>
        <v>123090.65</v>
      </c>
      <c r="H451" s="42">
        <f>H444+H450</f>
        <v>0</v>
      </c>
      <c r="I451" s="42">
        <f>I444+I450</f>
        <v>358884.1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404734.15</v>
      </c>
      <c r="G455" s="18">
        <v>0</v>
      </c>
      <c r="H455" s="18">
        <v>0</v>
      </c>
      <c r="I455" s="18">
        <v>8918103.7400000002</v>
      </c>
      <c r="J455" s="18">
        <v>359001.15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4994547.9000000004</v>
      </c>
      <c r="G458" s="18">
        <v>90302.36</v>
      </c>
      <c r="H458" s="18">
        <v>102445.4</v>
      </c>
      <c r="I458" s="18"/>
      <c r="J458" s="18">
        <f>108.53-225.58</f>
        <v>-117.05000000000001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4994547.9000000004</v>
      </c>
      <c r="G460" s="53">
        <f>SUM(G458:G459)</f>
        <v>90302.36</v>
      </c>
      <c r="H460" s="53">
        <f>SUM(H458:H459)</f>
        <v>102445.4</v>
      </c>
      <c r="I460" s="53">
        <f>SUM(I458:I459)</f>
        <v>0</v>
      </c>
      <c r="J460" s="53">
        <f>SUM(J458:J459)</f>
        <v>-117.05000000000001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5180439.6500000004</v>
      </c>
      <c r="G462" s="18">
        <v>90302.36</v>
      </c>
      <c r="H462" s="18">
        <v>102445.4</v>
      </c>
      <c r="I462" s="18">
        <v>8089345.4199999999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5180439.6500000004</v>
      </c>
      <c r="G464" s="53">
        <f>SUM(G462:G463)</f>
        <v>90302.36</v>
      </c>
      <c r="H464" s="53">
        <f>SUM(H462:H463)</f>
        <v>102445.4</v>
      </c>
      <c r="I464" s="53">
        <f>SUM(I462:I463)</f>
        <v>8089345.4199999999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218842.40000000037</v>
      </c>
      <c r="G466" s="53">
        <f>(G455+G460)- G464</f>
        <v>0</v>
      </c>
      <c r="H466" s="53">
        <f>(H455+H460)- H464</f>
        <v>0</v>
      </c>
      <c r="I466" s="53">
        <f>(I455+I460)- I464</f>
        <v>828758.3200000003</v>
      </c>
      <c r="J466" s="53">
        <f>(J455+J460)- J464</f>
        <v>358884.10000000003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10960000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10474557.779999999</v>
      </c>
      <c r="G485" s="18"/>
      <c r="H485" s="18"/>
      <c r="I485" s="18"/>
      <c r="J485" s="18"/>
      <c r="K485" s="53">
        <f>SUM(F485:J485)</f>
        <v>10474557.779999999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550689.02+225252.06</f>
        <v>775941.08000000007</v>
      </c>
      <c r="G487" s="18"/>
      <c r="H487" s="18"/>
      <c r="I487" s="18"/>
      <c r="J487" s="18"/>
      <c r="K487" s="53">
        <f t="shared" si="34"/>
        <v>775941.08000000007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9698616.6999999993</v>
      </c>
      <c r="G488" s="205"/>
      <c r="H488" s="205"/>
      <c r="I488" s="205"/>
      <c r="J488" s="205"/>
      <c r="K488" s="206">
        <f t="shared" si="34"/>
        <v>9698616.6999999993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5900693.6-7171.98-26752.88-16385.44</f>
        <v>5850383.2999999989</v>
      </c>
      <c r="G489" s="18"/>
      <c r="H489" s="18"/>
      <c r="I489" s="18"/>
      <c r="J489" s="18"/>
      <c r="K489" s="53">
        <f t="shared" si="34"/>
        <v>5850383.2999999989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15548999.999999998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15548999.999999998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530267.28+209385.81</f>
        <v>739653.09000000008</v>
      </c>
      <c r="G491" s="205"/>
      <c r="H491" s="205"/>
      <c r="I491" s="205"/>
      <c r="J491" s="205"/>
      <c r="K491" s="206">
        <f t="shared" si="34"/>
        <v>739653.09000000008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51370.22+25451.69</f>
        <v>76821.91</v>
      </c>
      <c r="G492" s="18"/>
      <c r="H492" s="18"/>
      <c r="I492" s="18"/>
      <c r="J492" s="18"/>
      <c r="K492" s="53">
        <f t="shared" si="34"/>
        <v>76821.91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816475.00000000012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816475.00000000012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99281+17542.58+106795.98</f>
        <v>223619.56</v>
      </c>
      <c r="G511" s="18">
        <f>28912.49+1632.67+218.7+678.93+16906.65+9043.13+885.31</f>
        <v>58277.88</v>
      </c>
      <c r="H511" s="18">
        <f>164891.5+23267+56281.06</f>
        <v>244439.56</v>
      </c>
      <c r="I511" s="18">
        <f>299.72+351.15</f>
        <v>650.87</v>
      </c>
      <c r="J511" s="18">
        <v>605.04</v>
      </c>
      <c r="K511" s="18"/>
      <c r="L511" s="88">
        <f>SUM(F511:K511)</f>
        <v>527592.91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827756.07</v>
      </c>
      <c r="I513" s="18"/>
      <c r="J513" s="18"/>
      <c r="K513" s="18"/>
      <c r="L513" s="88">
        <f>SUM(F513:K513)</f>
        <v>827756.07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223619.56</v>
      </c>
      <c r="G514" s="108">
        <f t="shared" ref="G514:L514" si="35">SUM(G511:G513)</f>
        <v>58277.88</v>
      </c>
      <c r="H514" s="108">
        <f t="shared" si="35"/>
        <v>1072195.6299999999</v>
      </c>
      <c r="I514" s="108">
        <f t="shared" si="35"/>
        <v>650.87</v>
      </c>
      <c r="J514" s="108">
        <f t="shared" si="35"/>
        <v>605.04</v>
      </c>
      <c r="K514" s="108">
        <f t="shared" si="35"/>
        <v>0</v>
      </c>
      <c r="L514" s="89">
        <f t="shared" si="35"/>
        <v>1355348.98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20+23360+10570.72+442.92+1825+15840.87+13680+13082+165</f>
        <v>78986.510000000009</v>
      </c>
      <c r="I516" s="18">
        <f>200+149.42</f>
        <v>349.41999999999996</v>
      </c>
      <c r="J516" s="18">
        <v>448.39</v>
      </c>
      <c r="K516" s="18"/>
      <c r="L516" s="88">
        <f>SUM(F516:K516)</f>
        <v>79784.320000000007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78986.510000000009</v>
      </c>
      <c r="I519" s="89">
        <f t="shared" si="36"/>
        <v>349.41999999999996</v>
      </c>
      <c r="J519" s="89">
        <f t="shared" si="36"/>
        <v>448.39</v>
      </c>
      <c r="K519" s="89">
        <f t="shared" si="36"/>
        <v>0</v>
      </c>
      <c r="L519" s="89">
        <f t="shared" si="36"/>
        <v>79784.320000000007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17144</v>
      </c>
      <c r="I521" s="18">
        <v>300</v>
      </c>
      <c r="J521" s="18"/>
      <c r="K521" s="18">
        <v>1083.19</v>
      </c>
      <c r="L521" s="88">
        <f>SUM(F521:K521)</f>
        <v>18527.189999999999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17144</v>
      </c>
      <c r="I524" s="89">
        <f t="shared" si="37"/>
        <v>300</v>
      </c>
      <c r="J524" s="89">
        <f t="shared" si="37"/>
        <v>0</v>
      </c>
      <c r="K524" s="89">
        <f t="shared" si="37"/>
        <v>1083.19</v>
      </c>
      <c r="L524" s="89">
        <f t="shared" si="37"/>
        <v>18527.189999999999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24442.2</v>
      </c>
      <c r="I531" s="18"/>
      <c r="J531" s="18"/>
      <c r="K531" s="18"/>
      <c r="L531" s="88">
        <f>SUM(F531:K531)</f>
        <v>24442.2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8420</v>
      </c>
      <c r="I533" s="18"/>
      <c r="J533" s="18"/>
      <c r="K533" s="18"/>
      <c r="L533" s="88">
        <f>SUM(F533:K533)</f>
        <v>8420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32862.199999999997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32862.199999999997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223619.56</v>
      </c>
      <c r="G535" s="89">
        <f t="shared" ref="G535:L535" si="40">G514+G519+G524+G529+G534</f>
        <v>58277.88</v>
      </c>
      <c r="H535" s="89">
        <f t="shared" si="40"/>
        <v>1201188.3399999999</v>
      </c>
      <c r="I535" s="89">
        <f t="shared" si="40"/>
        <v>1300.29</v>
      </c>
      <c r="J535" s="89">
        <f t="shared" si="40"/>
        <v>1053.4299999999998</v>
      </c>
      <c r="K535" s="89">
        <f t="shared" si="40"/>
        <v>1083.19</v>
      </c>
      <c r="L535" s="89">
        <f t="shared" si="40"/>
        <v>1486522.69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527592.91</v>
      </c>
      <c r="G539" s="87">
        <f>L516</f>
        <v>79784.320000000007</v>
      </c>
      <c r="H539" s="87">
        <f>L521</f>
        <v>18527.189999999999</v>
      </c>
      <c r="I539" s="87">
        <f>L526</f>
        <v>0</v>
      </c>
      <c r="J539" s="87">
        <f>L531</f>
        <v>24442.2</v>
      </c>
      <c r="K539" s="87">
        <f>SUM(F539:J539)</f>
        <v>650346.61999999988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827756.07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8420</v>
      </c>
      <c r="K541" s="87">
        <f>SUM(F541:J541)</f>
        <v>836176.07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1355348.98</v>
      </c>
      <c r="G542" s="89">
        <f t="shared" si="41"/>
        <v>79784.320000000007</v>
      </c>
      <c r="H542" s="89">
        <f t="shared" si="41"/>
        <v>18527.189999999999</v>
      </c>
      <c r="I542" s="89">
        <f t="shared" si="41"/>
        <v>0</v>
      </c>
      <c r="J542" s="89">
        <f t="shared" si="41"/>
        <v>32862.199999999997</v>
      </c>
      <c r="K542" s="89">
        <f t="shared" si="41"/>
        <v>1486522.69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629553.11</v>
      </c>
      <c r="I565" s="87">
        <f>SUM(F565:H565)</f>
        <v>629553.11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164891.5+56281.06</f>
        <v>221172.56</v>
      </c>
      <c r="G569" s="18"/>
      <c r="H569" s="18">
        <v>363130.05</v>
      </c>
      <c r="I569" s="87">
        <f t="shared" si="46"/>
        <v>584302.61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23267</v>
      </c>
      <c r="G572" s="18"/>
      <c r="H572" s="18">
        <v>464626.02</v>
      </c>
      <c r="I572" s="87">
        <f t="shared" si="46"/>
        <v>487893.02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82122</v>
      </c>
      <c r="I581" s="18"/>
      <c r="J581" s="18">
        <v>27373</v>
      </c>
      <c r="K581" s="104">
        <f t="shared" ref="K581:K587" si="47">SUM(H581:J581)</f>
        <v>109495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24442.2</v>
      </c>
      <c r="I582" s="18"/>
      <c r="J582" s="18">
        <v>8420</v>
      </c>
      <c r="K582" s="104">
        <f t="shared" si="47"/>
        <v>32862.199999999997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7049.34</v>
      </c>
      <c r="I584" s="18"/>
      <c r="J584" s="18"/>
      <c r="K584" s="104">
        <f t="shared" si="47"/>
        <v>7049.34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2570.5</v>
      </c>
      <c r="I585" s="18"/>
      <c r="J585" s="18"/>
      <c r="K585" s="104">
        <f t="shared" si="47"/>
        <v>2570.5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116184.04</v>
      </c>
      <c r="I588" s="108">
        <f>SUM(I581:I587)</f>
        <v>0</v>
      </c>
      <c r="J588" s="108">
        <f>SUM(J581:J587)</f>
        <v>35793</v>
      </c>
      <c r="K588" s="108">
        <f>SUM(K581:K587)</f>
        <v>151977.04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2139.7199999999998</v>
      </c>
      <c r="I594" s="18"/>
      <c r="J594" s="18"/>
      <c r="K594" s="104">
        <f>SUM(H594:J594)</f>
        <v>2139.7199999999998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2139.7199999999998</v>
      </c>
      <c r="I595" s="108">
        <f>SUM(I592:I594)</f>
        <v>0</v>
      </c>
      <c r="J595" s="108">
        <f>SUM(J592:J594)</f>
        <v>0</v>
      </c>
      <c r="K595" s="108">
        <f>SUM(K592:K594)</f>
        <v>2139.7199999999998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1808.44+510</f>
        <v>2318.44</v>
      </c>
      <c r="G601" s="18">
        <f>138.35+7.07+39.02+1.63</f>
        <v>186.07</v>
      </c>
      <c r="H601" s="18"/>
      <c r="I601" s="18">
        <v>141.85</v>
      </c>
      <c r="J601" s="18"/>
      <c r="K601" s="18"/>
      <c r="L601" s="88">
        <f>SUM(F601:K601)</f>
        <v>2646.36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2318.44</v>
      </c>
      <c r="G604" s="108">
        <f t="shared" si="48"/>
        <v>186.07</v>
      </c>
      <c r="H604" s="108">
        <f t="shared" si="48"/>
        <v>0</v>
      </c>
      <c r="I604" s="108">
        <f t="shared" si="48"/>
        <v>141.85</v>
      </c>
      <c r="J604" s="108">
        <f t="shared" si="48"/>
        <v>0</v>
      </c>
      <c r="K604" s="108">
        <f t="shared" si="48"/>
        <v>0</v>
      </c>
      <c r="L604" s="89">
        <f t="shared" si="48"/>
        <v>2646.36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251347.26</v>
      </c>
      <c r="H607" s="109">
        <f>SUM(F44)</f>
        <v>251347.26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28325.11</v>
      </c>
      <c r="H609" s="109">
        <f>SUM(H44)</f>
        <v>28325.11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2224312.94</v>
      </c>
      <c r="H610" s="109">
        <f>SUM(I44)</f>
        <v>2224312.94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358884.1</v>
      </c>
      <c r="H611" s="109">
        <f>SUM(J44)</f>
        <v>358884.1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218842.4</v>
      </c>
      <c r="H612" s="109">
        <f>F466</f>
        <v>218842.40000000037</v>
      </c>
      <c r="I612" s="121" t="s">
        <v>106</v>
      </c>
      <c r="J612" s="109">
        <f t="shared" ref="J612:J645" si="49">G612-H612</f>
        <v>-3.7834979593753815E-10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828758.32</v>
      </c>
      <c r="H615" s="109">
        <f>I466</f>
        <v>828758.3200000003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358884.1</v>
      </c>
      <c r="H616" s="109">
        <f>J466</f>
        <v>358884.10000000003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4994547.9000000004</v>
      </c>
      <c r="H617" s="104">
        <f>SUM(F458)</f>
        <v>4994547.9000000004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90302.36</v>
      </c>
      <c r="H618" s="104">
        <f>SUM(G458)</f>
        <v>90302.36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102445.40000000001</v>
      </c>
      <c r="H619" s="104">
        <f>SUM(H458)</f>
        <v>102445.4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-117.05000000000001</v>
      </c>
      <c r="H621" s="104">
        <f>SUM(J458)</f>
        <v>-117.05000000000001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5180439.6499999994</v>
      </c>
      <c r="H622" s="104">
        <f>SUM(F462)</f>
        <v>5180439.6500000004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102445.40000000001</v>
      </c>
      <c r="H623" s="104">
        <f>SUM(H462)</f>
        <v>102445.4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32978.980000000003</v>
      </c>
      <c r="H624" s="104">
        <f>I361</f>
        <v>32978.980000000003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90302.36</v>
      </c>
      <c r="H625" s="104">
        <f>SUM(G462)</f>
        <v>90302.36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8089345.4200000009</v>
      </c>
      <c r="H626" s="104">
        <f>SUM(I462)</f>
        <v>8089345.4199999999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-117.05000000000001</v>
      </c>
      <c r="H627" s="164">
        <f>SUM(J458)</f>
        <v>-117.05000000000001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235793.45</v>
      </c>
      <c r="H629" s="104">
        <f>SUM(F451)</f>
        <v>235793.45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123090.65</v>
      </c>
      <c r="H630" s="104">
        <f>SUM(G451)</f>
        <v>123090.65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358884.1</v>
      </c>
      <c r="H632" s="104">
        <f>SUM(I451)</f>
        <v>358884.1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-117.05000000000001</v>
      </c>
      <c r="H634" s="104">
        <f>H400</f>
        <v>-117.05000000000001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-117.05000000000001</v>
      </c>
      <c r="H636" s="104">
        <f>L400</f>
        <v>-117.05000000000001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151977.04</v>
      </c>
      <c r="H637" s="104">
        <f>L200+L218+L236</f>
        <v>151977.03999999998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2139.7199999999998</v>
      </c>
      <c r="H638" s="104">
        <f>(J249+J330)-(J247+J328)</f>
        <v>2139.7199999999998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116184.04</v>
      </c>
      <c r="H639" s="104">
        <f>H588</f>
        <v>116184.04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35793</v>
      </c>
      <c r="H641" s="104">
        <f>J588</f>
        <v>35793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19795.98</v>
      </c>
      <c r="H642" s="104">
        <f>K255+K337</f>
        <v>19795.98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3035419.8499999992</v>
      </c>
      <c r="G650" s="19">
        <f>(L221+L301+L351)</f>
        <v>0</v>
      </c>
      <c r="H650" s="19">
        <f>(L239+L320+L352)</f>
        <v>1493102.18</v>
      </c>
      <c r="I650" s="19">
        <f>SUM(F650:H650)</f>
        <v>4528522.0299999993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31399.79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31399.79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116184.04</v>
      </c>
      <c r="G652" s="19">
        <f>(L218+L298)-(J218+J298)</f>
        <v>0</v>
      </c>
      <c r="H652" s="19">
        <f>(L236+L317)-(J236+J317)</f>
        <v>35793</v>
      </c>
      <c r="I652" s="19">
        <f>SUM(F652:H652)</f>
        <v>151977.03999999998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249225.63999999998</v>
      </c>
      <c r="G653" s="200">
        <f>SUM(G565:G577)+SUM(I592:I594)+L602</f>
        <v>0</v>
      </c>
      <c r="H653" s="200">
        <f>SUM(H565:H577)+SUM(J592:J594)+L603</f>
        <v>1457309.18</v>
      </c>
      <c r="I653" s="19">
        <f>SUM(F653:H653)</f>
        <v>1706534.8199999998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2638610.379999999</v>
      </c>
      <c r="G654" s="19">
        <f>G650-SUM(G651:G653)</f>
        <v>0</v>
      </c>
      <c r="H654" s="19">
        <f>H650-SUM(H651:H653)</f>
        <v>0</v>
      </c>
      <c r="I654" s="19">
        <f>I650-SUM(I651:I653)</f>
        <v>2638610.3799999994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180.13</v>
      </c>
      <c r="G655" s="249"/>
      <c r="H655" s="249"/>
      <c r="I655" s="19">
        <f>SUM(F655:H655)</f>
        <v>180.13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14648.37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14648.37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14648.37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14648.37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B7D2-E4AE-4457-B863-0C573FC3C011}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Marlborough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929570.82000000007</v>
      </c>
      <c r="C9" s="230">
        <f>'DOE25'!G189+'DOE25'!G207+'DOE25'!G225+'DOE25'!G268+'DOE25'!G287+'DOE25'!G306</f>
        <v>347364.19</v>
      </c>
    </row>
    <row r="10" spans="1:3" x14ac:dyDescent="0.2">
      <c r="A10" t="s">
        <v>813</v>
      </c>
      <c r="B10" s="241">
        <v>911180.53</v>
      </c>
      <c r="C10" s="241">
        <v>340492.06</v>
      </c>
    </row>
    <row r="11" spans="1:3" x14ac:dyDescent="0.2">
      <c r="A11" t="s">
        <v>814</v>
      </c>
      <c r="B11" s="241">
        <v>18390.29</v>
      </c>
      <c r="C11" s="241">
        <v>6872.13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929570.82000000007</v>
      </c>
      <c r="C13" s="232">
        <f>SUM(C10:C12)</f>
        <v>347364.19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223619.56</v>
      </c>
      <c r="C18" s="230">
        <f>'DOE25'!G190+'DOE25'!G208+'DOE25'!G226+'DOE25'!G269+'DOE25'!G288+'DOE25'!G307</f>
        <v>58277.88</v>
      </c>
    </row>
    <row r="19" spans="1:3" x14ac:dyDescent="0.2">
      <c r="A19" t="s">
        <v>813</v>
      </c>
      <c r="B19" s="241">
        <v>99281</v>
      </c>
      <c r="C19" s="241">
        <v>25873.79</v>
      </c>
    </row>
    <row r="20" spans="1:3" x14ac:dyDescent="0.2">
      <c r="A20" t="s">
        <v>814</v>
      </c>
      <c r="B20" s="241">
        <v>124338.56</v>
      </c>
      <c r="C20" s="241">
        <v>32404.09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223619.56</v>
      </c>
      <c r="C22" s="232">
        <f>SUM(C19:C21)</f>
        <v>58277.880000000005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11778.43</v>
      </c>
      <c r="C36" s="236">
        <f>'DOE25'!G192+'DOE25'!G210+'DOE25'!G228+'DOE25'!G271+'DOE25'!G290+'DOE25'!G309</f>
        <v>1288.3400000000001</v>
      </c>
    </row>
    <row r="37" spans="1:3" x14ac:dyDescent="0.2">
      <c r="A37" t="s">
        <v>813</v>
      </c>
      <c r="B37" s="241">
        <v>10818.43</v>
      </c>
      <c r="C37" s="241">
        <v>1183.33</v>
      </c>
    </row>
    <row r="38" spans="1:3" x14ac:dyDescent="0.2">
      <c r="A38" t="s">
        <v>814</v>
      </c>
      <c r="B38" s="241">
        <v>960</v>
      </c>
      <c r="C38" s="241">
        <v>105.01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11778.43</v>
      </c>
      <c r="C40" s="232">
        <f>SUM(C37:C39)</f>
        <v>1288.3399999999999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1D37-3CA4-4BA5-B645-944FB458C0D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Marlborough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3324146.73</v>
      </c>
      <c r="D5" s="20">
        <f>SUM('DOE25'!L189:L192)+SUM('DOE25'!L207:L210)+SUM('DOE25'!L225:L228)-F5-G5</f>
        <v>3316947.26</v>
      </c>
      <c r="E5" s="244"/>
      <c r="F5" s="256">
        <f>SUM('DOE25'!J189:J192)+SUM('DOE25'!J207:J210)+SUM('DOE25'!J225:J228)</f>
        <v>1112.47</v>
      </c>
      <c r="G5" s="53">
        <f>SUM('DOE25'!K189:K192)+SUM('DOE25'!K207:K210)+SUM('DOE25'!K225:K228)</f>
        <v>6087</v>
      </c>
      <c r="H5" s="260"/>
    </row>
    <row r="6" spans="1:9" x14ac:dyDescent="0.2">
      <c r="A6" s="32">
        <v>2100</v>
      </c>
      <c r="B6" t="s">
        <v>835</v>
      </c>
      <c r="C6" s="246">
        <f t="shared" si="0"/>
        <v>214510.44999999998</v>
      </c>
      <c r="D6" s="20">
        <f>'DOE25'!L194+'DOE25'!L212+'DOE25'!L230-F6-G6</f>
        <v>213847.06999999998</v>
      </c>
      <c r="E6" s="244"/>
      <c r="F6" s="256">
        <f>'DOE25'!J194+'DOE25'!J212+'DOE25'!J230</f>
        <v>508.38</v>
      </c>
      <c r="G6" s="53">
        <f>'DOE25'!K194+'DOE25'!K212+'DOE25'!K230</f>
        <v>155</v>
      </c>
      <c r="H6" s="260"/>
    </row>
    <row r="7" spans="1:9" x14ac:dyDescent="0.2">
      <c r="A7" s="32">
        <v>2200</v>
      </c>
      <c r="B7" t="s">
        <v>868</v>
      </c>
      <c r="C7" s="246">
        <f t="shared" si="0"/>
        <v>49362.340000000004</v>
      </c>
      <c r="D7" s="20">
        <f>'DOE25'!L195+'DOE25'!L213+'DOE25'!L231-F7-G7</f>
        <v>49252.820000000007</v>
      </c>
      <c r="E7" s="244"/>
      <c r="F7" s="256">
        <f>'DOE25'!J195+'DOE25'!J213+'DOE25'!J231</f>
        <v>109.52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142595.6</v>
      </c>
      <c r="D8" s="244"/>
      <c r="E8" s="20">
        <f>'DOE25'!L196+'DOE25'!L214+'DOE25'!L232-F8-G8-D9-D11</f>
        <v>139494</v>
      </c>
      <c r="F8" s="256">
        <f>'DOE25'!J196+'DOE25'!J214+'DOE25'!J232</f>
        <v>0</v>
      </c>
      <c r="G8" s="53">
        <f>'DOE25'!K196+'DOE25'!K214+'DOE25'!K232</f>
        <v>3101.6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11178.13</v>
      </c>
      <c r="D9" s="245">
        <v>11178.13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50052</v>
      </c>
      <c r="D11" s="245">
        <v>50052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157320.00999999998</v>
      </c>
      <c r="D12" s="20">
        <f>'DOE25'!L197+'DOE25'!L215+'DOE25'!L233-F12-G12</f>
        <v>156460.21</v>
      </c>
      <c r="E12" s="244"/>
      <c r="F12" s="256">
        <f>'DOE25'!J197+'DOE25'!J215+'DOE25'!J233</f>
        <v>0</v>
      </c>
      <c r="G12" s="53">
        <f>'DOE25'!K197+'DOE25'!K215+'DOE25'!K233</f>
        <v>859.8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211635.12999999998</v>
      </c>
      <c r="D14" s="20">
        <f>'DOE25'!L199+'DOE25'!L217+'DOE25'!L235-F14-G14</f>
        <v>211225.77999999997</v>
      </c>
      <c r="E14" s="244"/>
      <c r="F14" s="256">
        <f>'DOE25'!J199+'DOE25'!J217+'DOE25'!J235</f>
        <v>409.35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151977.03999999998</v>
      </c>
      <c r="D15" s="20">
        <f>'DOE25'!L200+'DOE25'!L218+'DOE25'!L236-F15-G15</f>
        <v>151977.03999999998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22996.839999999997</v>
      </c>
      <c r="D16" s="244"/>
      <c r="E16" s="20">
        <f>'DOE25'!L201+'DOE25'!L219+'DOE25'!L237-F16-G16</f>
        <v>22996.839999999997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5790</v>
      </c>
      <c r="D19" s="20">
        <f>'DOE25'!L245-F19-G19</f>
        <v>0</v>
      </c>
      <c r="E19" s="244"/>
      <c r="F19" s="256">
        <f>'DOE25'!J245</f>
        <v>0</v>
      </c>
      <c r="G19" s="53">
        <f>'DOE25'!K245</f>
        <v>5790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819079.39999999991</v>
      </c>
      <c r="D25" s="244"/>
      <c r="E25" s="244"/>
      <c r="F25" s="259"/>
      <c r="G25" s="257"/>
      <c r="H25" s="258">
        <f>'DOE25'!L252+'DOE25'!L253+'DOE25'!L333+'DOE25'!L334</f>
        <v>819079.39999999991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59713.68</v>
      </c>
      <c r="D29" s="20">
        <f>'DOE25'!L350+'DOE25'!L351+'DOE25'!L352-'DOE25'!I359-F29-G29</f>
        <v>58634.7</v>
      </c>
      <c r="E29" s="244"/>
      <c r="F29" s="256">
        <f>'DOE25'!J350+'DOE25'!J351+'DOE25'!J352</f>
        <v>179.98</v>
      </c>
      <c r="G29" s="53">
        <f>'DOE25'!K350+'DOE25'!K351+'DOE25'!K352</f>
        <v>899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102445.40000000001</v>
      </c>
      <c r="D31" s="20">
        <f>'DOE25'!L282+'DOE25'!L301+'DOE25'!L320+'DOE25'!L325+'DOE25'!L326+'DOE25'!L327-F31-G31</f>
        <v>98846.44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3598.96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4318421.4499999993</v>
      </c>
      <c r="E33" s="247">
        <f>SUM(E5:E31)</f>
        <v>169990.84</v>
      </c>
      <c r="F33" s="247">
        <f>SUM(F5:F31)</f>
        <v>2319.6999999999998</v>
      </c>
      <c r="G33" s="247">
        <f>SUM(G5:G31)</f>
        <v>20491.36</v>
      </c>
      <c r="H33" s="247">
        <f>SUM(H5:H31)</f>
        <v>819079.39999999991</v>
      </c>
    </row>
    <row r="35" spans="2:8" ht="12" thickBot="1" x14ac:dyDescent="0.25">
      <c r="B35" s="254" t="s">
        <v>881</v>
      </c>
      <c r="D35" s="255">
        <f>E33</f>
        <v>169990.84</v>
      </c>
      <c r="E35" s="250"/>
    </row>
    <row r="36" spans="2:8" ht="12" thickTop="1" x14ac:dyDescent="0.2">
      <c r="B36" t="s">
        <v>849</v>
      </c>
      <c r="D36" s="20">
        <f>D33</f>
        <v>4318421.4499999993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0DA8-1680-400B-B577-7BE2BA788632}">
  <sheetPr transitionEvaluation="1" codeName="Sheet2">
    <tabColor indexed="10"/>
  </sheetPr>
  <dimension ref="A1:I156"/>
  <sheetViews>
    <sheetView zoomScale="75" workbookViewId="0">
      <pane ySplit="2" topLeftCell="A13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223987.76</v>
      </c>
      <c r="D9" s="95">
        <f>'DOE25'!G9</f>
        <v>0</v>
      </c>
      <c r="E9" s="95">
        <f>'DOE25'!H9</f>
        <v>0</v>
      </c>
      <c r="F9" s="95">
        <f>'DOE25'!I9</f>
        <v>2224312.94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8727.76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358884.1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16236.44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2395.3000000000002</v>
      </c>
      <c r="D13" s="95">
        <f>'DOE25'!G13</f>
        <v>0</v>
      </c>
      <c r="E13" s="95">
        <f>'DOE25'!H13</f>
        <v>28325.11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251347.26</v>
      </c>
      <c r="D19" s="41">
        <f>SUM(D9:D18)</f>
        <v>0</v>
      </c>
      <c r="E19" s="41">
        <f>SUM(E9:E18)</f>
        <v>28325.11</v>
      </c>
      <c r="F19" s="41">
        <f>SUM(F9:F18)</f>
        <v>2224312.94</v>
      </c>
      <c r="G19" s="41">
        <f>SUM(G9:G18)</f>
        <v>358884.1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16236.44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3269.7</v>
      </c>
      <c r="D23" s="95">
        <f>'DOE25'!G24</f>
        <v>0</v>
      </c>
      <c r="E23" s="95">
        <f>'DOE25'!H24</f>
        <v>3307.42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25109.26</v>
      </c>
      <c r="D24" s="95">
        <f>'DOE25'!G25</f>
        <v>0</v>
      </c>
      <c r="E24" s="95">
        <f>'DOE25'!H25</f>
        <v>365.58</v>
      </c>
      <c r="F24" s="95">
        <f>'DOE25'!I25</f>
        <v>623690.6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771864.02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4125.8999999999996</v>
      </c>
      <c r="D28" s="95">
        <f>'DOE25'!G29</f>
        <v>0</v>
      </c>
      <c r="E28" s="95">
        <f>'DOE25'!H29</f>
        <v>8415.67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32504.86</v>
      </c>
      <c r="D32" s="41">
        <f>SUM(D22:D31)</f>
        <v>0</v>
      </c>
      <c r="E32" s="41">
        <f>SUM(E22:E31)</f>
        <v>28325.11</v>
      </c>
      <c r="F32" s="41">
        <f>SUM(F22:F31)</f>
        <v>1395554.62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62260.6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766497.72</v>
      </c>
      <c r="G40" s="95">
        <f>'DOE25'!J41</f>
        <v>358884.1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218842.4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218842.4</v>
      </c>
      <c r="D42" s="41">
        <f>SUM(D34:D41)</f>
        <v>0</v>
      </c>
      <c r="E42" s="41">
        <f>SUM(E34:E41)</f>
        <v>0</v>
      </c>
      <c r="F42" s="41">
        <f>SUM(F34:F41)</f>
        <v>828758.32</v>
      </c>
      <c r="G42" s="41">
        <f>SUM(G34:G41)</f>
        <v>358884.1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251347.26</v>
      </c>
      <c r="D43" s="41">
        <f>D42+D32</f>
        <v>0</v>
      </c>
      <c r="E43" s="41">
        <f>E42+E32</f>
        <v>28325.11</v>
      </c>
      <c r="F43" s="41">
        <f>F42+F32</f>
        <v>2224312.94</v>
      </c>
      <c r="G43" s="41">
        <f>G42+G32</f>
        <v>358884.1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2455704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2057.88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-117.05000000000001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31399.79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78215.47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80273.350000000006</v>
      </c>
      <c r="D54" s="130">
        <f>SUM(D49:D53)</f>
        <v>31399.79</v>
      </c>
      <c r="E54" s="130">
        <f>SUM(E49:E53)</f>
        <v>0</v>
      </c>
      <c r="F54" s="130">
        <f>SUM(F49:F53)</f>
        <v>0</v>
      </c>
      <c r="G54" s="130">
        <f>SUM(G49:G53)</f>
        <v>-117.05000000000001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2535977.35</v>
      </c>
      <c r="D55" s="22">
        <f>D48+D54</f>
        <v>31399.79</v>
      </c>
      <c r="E55" s="22">
        <f>E48+E54</f>
        <v>0</v>
      </c>
      <c r="F55" s="22">
        <f>F48+F54</f>
        <v>0</v>
      </c>
      <c r="G55" s="22">
        <f>G48+G54</f>
        <v>-117.05000000000001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860822.1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416576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330269.90000000002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1607668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364119.18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165535.63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955.63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529654.81000000006</v>
      </c>
      <c r="D70" s="130">
        <f>SUM(D64:D69)</f>
        <v>955.63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2137322.81</v>
      </c>
      <c r="D73" s="130">
        <f>SUM(D71:D72)+D70+D62</f>
        <v>955.63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89814.82</v>
      </c>
      <c r="D80" s="95">
        <f>SUM('DOE25'!G145:G153)</f>
        <v>38150.959999999999</v>
      </c>
      <c r="E80" s="95">
        <f>SUM('DOE25'!H145:H153)</f>
        <v>102445.40000000001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89814.82</v>
      </c>
      <c r="D83" s="131">
        <f>SUM(D77:D82)</f>
        <v>38150.959999999999</v>
      </c>
      <c r="E83" s="131">
        <f>SUM(E77:E82)</f>
        <v>102445.40000000001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19795.98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231432.91999999998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231432.91999999998</v>
      </c>
      <c r="D95" s="86">
        <f>SUM(D85:D94)</f>
        <v>19795.98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4994547.9000000004</v>
      </c>
      <c r="D96" s="86">
        <f>D55+D73+D83+D95</f>
        <v>90302.36</v>
      </c>
      <c r="E96" s="86">
        <f>E55+E73+E83+E95</f>
        <v>102445.40000000001</v>
      </c>
      <c r="F96" s="86">
        <f>F55+F73+F83+F95</f>
        <v>0</v>
      </c>
      <c r="G96" s="86">
        <f>G55+G73+G95</f>
        <v>-117.05000000000001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1939768.7200000002</v>
      </c>
      <c r="D101" s="24" t="s">
        <v>312</v>
      </c>
      <c r="E101" s="95">
        <f>('DOE25'!L268)+('DOE25'!L287)+('DOE25'!L306)</f>
        <v>30993.350000000002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1355348.98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29029.03</v>
      </c>
      <c r="D104" s="24" t="s">
        <v>312</v>
      </c>
      <c r="E104" s="95">
        <f>+('DOE25'!L271)+('DOE25'!L290)+('DOE25'!L309)</f>
        <v>692.5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5790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3329936.73</v>
      </c>
      <c r="D107" s="86">
        <f>SUM(D101:D106)</f>
        <v>0</v>
      </c>
      <c r="E107" s="86">
        <f>SUM(E101:E106)</f>
        <v>31685.850000000002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214510.44999999998</v>
      </c>
      <c r="D110" s="24" t="s">
        <v>312</v>
      </c>
      <c r="E110" s="95">
        <f>+('DOE25'!L273)+('DOE25'!L292)+('DOE25'!L311)</f>
        <v>1442.92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49362.340000000004</v>
      </c>
      <c r="D111" s="24" t="s">
        <v>312</v>
      </c>
      <c r="E111" s="95">
        <f>+('DOE25'!L274)+('DOE25'!L293)+('DOE25'!L312)</f>
        <v>61262.67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203825.73</v>
      </c>
      <c r="D112" s="24" t="s">
        <v>312</v>
      </c>
      <c r="E112" s="95">
        <f>+('DOE25'!L275)+('DOE25'!L294)+('DOE25'!L313)</f>
        <v>4155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157320.00999999998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3598.96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211635.12999999998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151977.03999999998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22996.839999999997</v>
      </c>
      <c r="D117" s="24" t="s">
        <v>312</v>
      </c>
      <c r="E117" s="95">
        <f>+('DOE25'!L280)+('DOE25'!L299)+('DOE25'!L318)</f>
        <v>300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90302.36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1011627.5399999999</v>
      </c>
      <c r="D120" s="86">
        <f>SUM(D110:D119)</f>
        <v>90302.36</v>
      </c>
      <c r="E120" s="86">
        <f>SUM(E110:E119)</f>
        <v>70759.55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7940890.1000000006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775941.08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43138.32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148455.32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19795.98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108.53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-225.58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117.05000000000001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838875.38</v>
      </c>
      <c r="D136" s="141">
        <f>SUM(D122:D135)</f>
        <v>0</v>
      </c>
      <c r="E136" s="141">
        <f>SUM(E122:E135)</f>
        <v>0</v>
      </c>
      <c r="F136" s="141">
        <f>SUM(F122:F135)</f>
        <v>8089345.4200000009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5180439.6499999994</v>
      </c>
      <c r="D137" s="86">
        <f>(D107+D120+D136)</f>
        <v>90302.36</v>
      </c>
      <c r="E137" s="86">
        <f>(E107+E120+E136)</f>
        <v>102445.40000000001</v>
      </c>
      <c r="F137" s="86">
        <f>(F107+F120+F136)</f>
        <v>8089345.4200000009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08/28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10960000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10474557.779999999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10474557.779999999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775941.08000000007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775941.08000000007</v>
      </c>
    </row>
    <row r="151" spans="1:7" x14ac:dyDescent="0.2">
      <c r="A151" s="22" t="s">
        <v>35</v>
      </c>
      <c r="B151" s="137">
        <f>'DOE25'!F488</f>
        <v>9698616.6999999993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9698616.6999999993</v>
      </c>
    </row>
    <row r="152" spans="1:7" x14ac:dyDescent="0.2">
      <c r="A152" s="22" t="s">
        <v>36</v>
      </c>
      <c r="B152" s="137">
        <f>'DOE25'!F489</f>
        <v>5850383.2999999989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5850383.2999999989</v>
      </c>
    </row>
    <row r="153" spans="1:7" x14ac:dyDescent="0.2">
      <c r="A153" s="22" t="s">
        <v>37</v>
      </c>
      <c r="B153" s="137">
        <f>'DOE25'!F490</f>
        <v>15548999.999999998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15548999.999999998</v>
      </c>
    </row>
    <row r="154" spans="1:7" x14ac:dyDescent="0.2">
      <c r="A154" s="22" t="s">
        <v>38</v>
      </c>
      <c r="B154" s="137">
        <f>'DOE25'!F491</f>
        <v>739653.09000000008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739653.09000000008</v>
      </c>
    </row>
    <row r="155" spans="1:7" x14ac:dyDescent="0.2">
      <c r="A155" s="22" t="s">
        <v>39</v>
      </c>
      <c r="B155" s="137">
        <f>'DOE25'!F492</f>
        <v>76821.91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76821.91</v>
      </c>
    </row>
    <row r="156" spans="1:7" x14ac:dyDescent="0.2">
      <c r="A156" s="22" t="s">
        <v>269</v>
      </c>
      <c r="B156" s="137">
        <f>'DOE25'!F493</f>
        <v>816475.00000000012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816475.00000000012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2447-4A99-496A-8B1D-035D37012DA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Marlborough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14648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14648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1970762</v>
      </c>
      <c r="D10" s="182">
        <f>ROUND((C10/$C$28)*100,1)</f>
        <v>43.4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1355349</v>
      </c>
      <c r="D11" s="182">
        <f>ROUND((C11/$C$28)*100,1)</f>
        <v>29.8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29722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215953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110625</v>
      </c>
      <c r="D16" s="182">
        <f t="shared" si="0"/>
        <v>2.4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231278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157320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3599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211635</v>
      </c>
      <c r="D20" s="182">
        <f t="shared" si="0"/>
        <v>4.7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151977</v>
      </c>
      <c r="D21" s="182">
        <f t="shared" si="0"/>
        <v>3.3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5790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43138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58902.21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4546050.21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7940890</v>
      </c>
    </row>
    <row r="30" spans="1:4" x14ac:dyDescent="0.2">
      <c r="B30" s="187" t="s">
        <v>760</v>
      </c>
      <c r="C30" s="180">
        <f>SUM(C28:C29)</f>
        <v>12486940.210000001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775941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2455704</v>
      </c>
      <c r="D35" s="182">
        <f t="shared" ref="D35:D40" si="1">ROUND((C35/$C$41)*100,1)</f>
        <v>50.1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80156.300000000279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1277398</v>
      </c>
      <c r="D37" s="182">
        <f t="shared" si="1"/>
        <v>26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860880</v>
      </c>
      <c r="D38" s="182">
        <f t="shared" si="1"/>
        <v>17.600000000000001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230411</v>
      </c>
      <c r="D39" s="182">
        <f t="shared" si="1"/>
        <v>4.7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4904549.3000000007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20AA-BBE4-4C09-AAAB-CB99BDB41E7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Marlborough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2010-06-02T14:13:28Z</cp:lastPrinted>
  <dcterms:created xsi:type="dcterms:W3CDTF">1997-12-04T19:04:30Z</dcterms:created>
  <dcterms:modified xsi:type="dcterms:W3CDTF">2025-01-02T14:49:03Z</dcterms:modified>
</cp:coreProperties>
</file>