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3866B6E2-EABB-483B-8AC5-2DB2C812171B}" xr6:coauthVersionLast="47" xr6:coauthVersionMax="47" xr10:uidLastSave="{00000000-0000-0000-0000-000000000000}"/>
  <workbookProtection workbookPassword="B70A" lockStructure="1"/>
  <bookViews>
    <workbookView xWindow="2340" yWindow="2340" windowWidth="21600" windowHeight="11505" tabRatio="855" xr2:uid="{7FC9B88D-1B83-4F7B-A213-BB44FF124F2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8" i="1" l="1"/>
  <c r="J458" i="1"/>
  <c r="G601" i="1"/>
  <c r="G350" i="1"/>
  <c r="F569" i="1"/>
  <c r="H516" i="1"/>
  <c r="I511" i="1"/>
  <c r="H511" i="1"/>
  <c r="G511" i="1"/>
  <c r="F511" i="1"/>
  <c r="L511" i="1" s="1"/>
  <c r="J268" i="1"/>
  <c r="J282" i="1" s="1"/>
  <c r="I268" i="1"/>
  <c r="L268" i="1" s="1"/>
  <c r="I194" i="1"/>
  <c r="H200" i="1"/>
  <c r="H196" i="1"/>
  <c r="H194" i="1"/>
  <c r="G196" i="1"/>
  <c r="G195" i="1"/>
  <c r="G194" i="1"/>
  <c r="F196" i="1"/>
  <c r="F195" i="1"/>
  <c r="H151" i="1"/>
  <c r="E80" i="2" s="1"/>
  <c r="H142" i="1"/>
  <c r="H154" i="1" s="1"/>
  <c r="H161" i="1" s="1"/>
  <c r="F102" i="1"/>
  <c r="F103" i="1" s="1"/>
  <c r="F9" i="1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L234" i="1"/>
  <c r="E13" i="13" s="1"/>
  <c r="C13" i="13" s="1"/>
  <c r="F16" i="13"/>
  <c r="G16" i="13"/>
  <c r="L201" i="1"/>
  <c r="L219" i="1"/>
  <c r="L237" i="1"/>
  <c r="E16" i="13"/>
  <c r="C16" i="13" s="1"/>
  <c r="F5" i="13"/>
  <c r="G5" i="13"/>
  <c r="L189" i="1"/>
  <c r="L190" i="1"/>
  <c r="L191" i="1"/>
  <c r="L192" i="1"/>
  <c r="L207" i="1"/>
  <c r="L208" i="1"/>
  <c r="L209" i="1"/>
  <c r="L210" i="1"/>
  <c r="D5" i="13" s="1"/>
  <c r="L225" i="1"/>
  <c r="L239" i="1" s="1"/>
  <c r="L226" i="1"/>
  <c r="C11" i="10" s="1"/>
  <c r="L227" i="1"/>
  <c r="L228" i="1"/>
  <c r="F6" i="13"/>
  <c r="G6" i="13"/>
  <c r="L194" i="1"/>
  <c r="D6" i="13" s="1"/>
  <c r="C6" i="13" s="1"/>
  <c r="L212" i="1"/>
  <c r="L230" i="1"/>
  <c r="F7" i="13"/>
  <c r="G7" i="13"/>
  <c r="G33" i="13" s="1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C20" i="10" s="1"/>
  <c r="L217" i="1"/>
  <c r="L235" i="1"/>
  <c r="F15" i="13"/>
  <c r="G15" i="13"/>
  <c r="L200" i="1"/>
  <c r="D15" i="13" s="1"/>
  <c r="C15" i="13" s="1"/>
  <c r="L218" i="1"/>
  <c r="L236" i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L352" i="1"/>
  <c r="I359" i="1"/>
  <c r="I361" i="1" s="1"/>
  <c r="H624" i="1" s="1"/>
  <c r="J301" i="1"/>
  <c r="J320" i="1"/>
  <c r="K282" i="1"/>
  <c r="K301" i="1"/>
  <c r="K320" i="1"/>
  <c r="G31" i="13"/>
  <c r="L269" i="1"/>
  <c r="L270" i="1"/>
  <c r="C12" i="10" s="1"/>
  <c r="L271" i="1"/>
  <c r="L273" i="1"/>
  <c r="C15" i="10" s="1"/>
  <c r="L274" i="1"/>
  <c r="L275" i="1"/>
  <c r="L276" i="1"/>
  <c r="L277" i="1"/>
  <c r="L278" i="1"/>
  <c r="L279" i="1"/>
  <c r="C21" i="10" s="1"/>
  <c r="L280" i="1"/>
  <c r="E117" i="2" s="1"/>
  <c r="L287" i="1"/>
  <c r="L288" i="1"/>
  <c r="E102" i="2" s="1"/>
  <c r="L289" i="1"/>
  <c r="L290" i="1"/>
  <c r="L292" i="1"/>
  <c r="L293" i="1"/>
  <c r="L294" i="1"/>
  <c r="L295" i="1"/>
  <c r="L296" i="1"/>
  <c r="L297" i="1"/>
  <c r="E115" i="2" s="1"/>
  <c r="L298" i="1"/>
  <c r="G652" i="1" s="1"/>
  <c r="L299" i="1"/>
  <c r="L306" i="1"/>
  <c r="L307" i="1"/>
  <c r="L308" i="1"/>
  <c r="L309" i="1"/>
  <c r="L311" i="1"/>
  <c r="L312" i="1"/>
  <c r="L313" i="1"/>
  <c r="L314" i="1"/>
  <c r="L320" i="1" s="1"/>
  <c r="L315" i="1"/>
  <c r="L316" i="1"/>
  <c r="L317" i="1"/>
  <c r="L318" i="1"/>
  <c r="L325" i="1"/>
  <c r="L326" i="1"/>
  <c r="L327" i="1"/>
  <c r="L252" i="1"/>
  <c r="H25" i="13" s="1"/>
  <c r="L253" i="1"/>
  <c r="C124" i="2" s="1"/>
  <c r="L333" i="1"/>
  <c r="L334" i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C130" i="2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5" i="2" s="1"/>
  <c r="G51" i="2"/>
  <c r="G54" i="2" s="1"/>
  <c r="G53" i="2"/>
  <c r="F2" i="11"/>
  <c r="L603" i="1"/>
  <c r="L604" i="1" s="1"/>
  <c r="H653" i="1"/>
  <c r="L602" i="1"/>
  <c r="G653" i="1" s="1"/>
  <c r="L601" i="1"/>
  <c r="F653" i="1" s="1"/>
  <c r="C40" i="10"/>
  <c r="F52" i="1"/>
  <c r="G52" i="1"/>
  <c r="H52" i="1"/>
  <c r="I52" i="1"/>
  <c r="C35" i="10"/>
  <c r="F71" i="1"/>
  <c r="C49" i="2" s="1"/>
  <c r="F86" i="1"/>
  <c r="C50" i="2" s="1"/>
  <c r="G103" i="1"/>
  <c r="G104" i="1" s="1"/>
  <c r="H71" i="1"/>
  <c r="H104" i="1" s="1"/>
  <c r="H185" i="1" s="1"/>
  <c r="G619" i="1" s="1"/>
  <c r="J619" i="1" s="1"/>
  <c r="H86" i="1"/>
  <c r="H103" i="1"/>
  <c r="I103" i="1"/>
  <c r="I104" i="1"/>
  <c r="J103" i="1"/>
  <c r="J104" i="1"/>
  <c r="C37" i="10"/>
  <c r="F113" i="1"/>
  <c r="F132" i="1" s="1"/>
  <c r="F128" i="1"/>
  <c r="G113" i="1"/>
  <c r="G132" i="1" s="1"/>
  <c r="G128" i="1"/>
  <c r="H113" i="1"/>
  <c r="H128" i="1"/>
  <c r="H132" i="1"/>
  <c r="I113" i="1"/>
  <c r="I132" i="1" s="1"/>
  <c r="I128" i="1"/>
  <c r="J113" i="1"/>
  <c r="J132" i="1" s="1"/>
  <c r="J128" i="1"/>
  <c r="F139" i="1"/>
  <c r="F161" i="1" s="1"/>
  <c r="C39" i="10" s="1"/>
  <c r="F154" i="1"/>
  <c r="G139" i="1"/>
  <c r="D77" i="2" s="1"/>
  <c r="D83" i="2" s="1"/>
  <c r="G154" i="1"/>
  <c r="G161" i="1"/>
  <c r="H139" i="1"/>
  <c r="I139" i="1"/>
  <c r="I161" i="1" s="1"/>
  <c r="I154" i="1"/>
  <c r="C18" i="10"/>
  <c r="C19" i="10"/>
  <c r="L242" i="1"/>
  <c r="C23" i="10" s="1"/>
  <c r="L324" i="1"/>
  <c r="E105" i="2" s="1"/>
  <c r="L246" i="1"/>
  <c r="L260" i="1"/>
  <c r="L261" i="1"/>
  <c r="C26" i="10" s="1"/>
  <c r="L341" i="1"/>
  <c r="E134" i="2" s="1"/>
  <c r="E136" i="2" s="1"/>
  <c r="L342" i="1"/>
  <c r="E135" i="2" s="1"/>
  <c r="I655" i="1"/>
  <c r="I660" i="1"/>
  <c r="L221" i="1"/>
  <c r="H652" i="1"/>
  <c r="I659" i="1"/>
  <c r="C6" i="10"/>
  <c r="C5" i="10"/>
  <c r="C42" i="10"/>
  <c r="L366" i="1"/>
  <c r="L367" i="1"/>
  <c r="L368" i="1"/>
  <c r="L369" i="1"/>
  <c r="C29" i="10" s="1"/>
  <c r="L370" i="1"/>
  <c r="L371" i="1"/>
  <c r="L372" i="1"/>
  <c r="B2" i="10"/>
  <c r="L336" i="1"/>
  <c r="L343" i="1" s="1"/>
  <c r="L337" i="1"/>
  <c r="L338" i="1"/>
  <c r="L339" i="1"/>
  <c r="K343" i="1"/>
  <c r="L512" i="1"/>
  <c r="F540" i="1"/>
  <c r="L513" i="1"/>
  <c r="F541" i="1"/>
  <c r="L516" i="1"/>
  <c r="G539" i="1"/>
  <c r="L517" i="1"/>
  <c r="G540" i="1" s="1"/>
  <c r="K540" i="1" s="1"/>
  <c r="L518" i="1"/>
  <c r="G541" i="1"/>
  <c r="K541" i="1" s="1"/>
  <c r="L521" i="1"/>
  <c r="H539" i="1"/>
  <c r="L522" i="1"/>
  <c r="H540" i="1"/>
  <c r="L523" i="1"/>
  <c r="H541" i="1"/>
  <c r="H542" i="1"/>
  <c r="L526" i="1"/>
  <c r="I539" i="1" s="1"/>
  <c r="I542" i="1" s="1"/>
  <c r="L527" i="1"/>
  <c r="I540" i="1"/>
  <c r="L528" i="1"/>
  <c r="I541" i="1" s="1"/>
  <c r="L531" i="1"/>
  <c r="J539" i="1"/>
  <c r="J542" i="1" s="1"/>
  <c r="L532" i="1"/>
  <c r="J540" i="1"/>
  <c r="L533" i="1"/>
  <c r="L534" i="1" s="1"/>
  <c r="J541" i="1"/>
  <c r="E124" i="2"/>
  <c r="E123" i="2"/>
  <c r="K262" i="1"/>
  <c r="J262" i="1"/>
  <c r="I262" i="1"/>
  <c r="H262" i="1"/>
  <c r="G262" i="1"/>
  <c r="L262" i="1" s="1"/>
  <c r="F262" i="1"/>
  <c r="A1" i="2"/>
  <c r="A2" i="2"/>
  <c r="C9" i="2"/>
  <c r="C19" i="2" s="1"/>
  <c r="D9" i="2"/>
  <c r="E9" i="2"/>
  <c r="F9" i="2"/>
  <c r="I431" i="1"/>
  <c r="I438" i="1" s="1"/>
  <c r="G632" i="1" s="1"/>
  <c r="J9" i="1"/>
  <c r="G9" i="2"/>
  <c r="C10" i="2"/>
  <c r="D10" i="2"/>
  <c r="E10" i="2"/>
  <c r="F10" i="2"/>
  <c r="I432" i="1"/>
  <c r="J10" i="1"/>
  <c r="G10" i="2" s="1"/>
  <c r="C11" i="2"/>
  <c r="C12" i="2"/>
  <c r="D12" i="2"/>
  <c r="D19" i="2" s="1"/>
  <c r="E12" i="2"/>
  <c r="E19" i="2" s="1"/>
  <c r="F12" i="2"/>
  <c r="F19" i="2" s="1"/>
  <c r="I433" i="1"/>
  <c r="J12" i="1"/>
  <c r="G12" i="2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D22" i="2"/>
  <c r="E22" i="2"/>
  <c r="F22" i="2"/>
  <c r="I440" i="1"/>
  <c r="I444" i="1" s="1"/>
  <c r="I451" i="1" s="1"/>
  <c r="H632" i="1" s="1"/>
  <c r="J23" i="1"/>
  <c r="G22" i="2"/>
  <c r="C23" i="2"/>
  <c r="D23" i="2"/>
  <c r="D32" i="2" s="1"/>
  <c r="E23" i="2"/>
  <c r="E32" i="2" s="1"/>
  <c r="F23" i="2"/>
  <c r="F32" i="2" s="1"/>
  <c r="I441" i="1"/>
  <c r="J24" i="1"/>
  <c r="G23" i="2" s="1"/>
  <c r="C24" i="2"/>
  <c r="D24" i="2"/>
  <c r="E24" i="2"/>
  <c r="F24" i="2"/>
  <c r="I442" i="1"/>
  <c r="J25" i="1" s="1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C42" i="2" s="1"/>
  <c r="D34" i="2"/>
  <c r="D42" i="2" s="1"/>
  <c r="D43" i="2" s="1"/>
  <c r="E34" i="2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E42" i="2" s="1"/>
  <c r="E43" i="2" s="1"/>
  <c r="F38" i="2"/>
  <c r="I448" i="1"/>
  <c r="J40" i="1"/>
  <c r="G39" i="2"/>
  <c r="C40" i="2"/>
  <c r="D40" i="2"/>
  <c r="E40" i="2"/>
  <c r="F40" i="2"/>
  <c r="I449" i="1"/>
  <c r="J41" i="1" s="1"/>
  <c r="G40" i="2" s="1"/>
  <c r="C41" i="2"/>
  <c r="D41" i="2"/>
  <c r="E41" i="2"/>
  <c r="F41" i="2"/>
  <c r="C48" i="2"/>
  <c r="D48" i="2"/>
  <c r="E48" i="2"/>
  <c r="F48" i="2"/>
  <c r="E49" i="2"/>
  <c r="E54" i="2" s="1"/>
  <c r="E55" i="2" s="1"/>
  <c r="E96" i="2" s="1"/>
  <c r="E50" i="2"/>
  <c r="C51" i="2"/>
  <c r="D51" i="2"/>
  <c r="D54" i="2" s="1"/>
  <c r="D55" i="2" s="1"/>
  <c r="E51" i="2"/>
  <c r="F51" i="2"/>
  <c r="F54" i="2" s="1"/>
  <c r="D52" i="2"/>
  <c r="D53" i="2"/>
  <c r="E53" i="2"/>
  <c r="F53" i="2"/>
  <c r="C58" i="2"/>
  <c r="C62" i="2" s="1"/>
  <c r="C59" i="2"/>
  <c r="C61" i="2"/>
  <c r="D61" i="2"/>
  <c r="E61" i="2"/>
  <c r="F61" i="2"/>
  <c r="G61" i="2"/>
  <c r="G62" i="2" s="1"/>
  <c r="D62" i="2"/>
  <c r="E62" i="2"/>
  <c r="F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D73" i="2" s="1"/>
  <c r="E69" i="2"/>
  <c r="F69" i="2"/>
  <c r="G69" i="2"/>
  <c r="G70" i="2" s="1"/>
  <c r="E70" i="2"/>
  <c r="E73" i="2" s="1"/>
  <c r="C71" i="2"/>
  <c r="D71" i="2"/>
  <c r="E71" i="2"/>
  <c r="C72" i="2"/>
  <c r="E72" i="2"/>
  <c r="C77" i="2"/>
  <c r="E77" i="2"/>
  <c r="F77" i="2"/>
  <c r="F83" i="2" s="1"/>
  <c r="C79" i="2"/>
  <c r="C83" i="2" s="1"/>
  <c r="E79" i="2"/>
  <c r="E83" i="2" s="1"/>
  <c r="F79" i="2"/>
  <c r="C80" i="2"/>
  <c r="D80" i="2"/>
  <c r="F80" i="2"/>
  <c r="C81" i="2"/>
  <c r="D81" i="2"/>
  <c r="E81" i="2"/>
  <c r="F81" i="2"/>
  <c r="C82" i="2"/>
  <c r="C85" i="2"/>
  <c r="F85" i="2"/>
  <c r="C86" i="2"/>
  <c r="F86" i="2"/>
  <c r="D88" i="2"/>
  <c r="E88" i="2"/>
  <c r="F88" i="2"/>
  <c r="G88" i="2"/>
  <c r="G95" i="2" s="1"/>
  <c r="C89" i="2"/>
  <c r="D89" i="2"/>
  <c r="D95" i="2" s="1"/>
  <c r="E89" i="2"/>
  <c r="F89" i="2"/>
  <c r="F95" i="2" s="1"/>
  <c r="G89" i="2"/>
  <c r="C90" i="2"/>
  <c r="D90" i="2"/>
  <c r="E90" i="2"/>
  <c r="G90" i="2"/>
  <c r="C91" i="2"/>
  <c r="D91" i="2"/>
  <c r="E91" i="2"/>
  <c r="E95" i="2" s="1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C103" i="2"/>
  <c r="E103" i="2"/>
  <c r="E104" i="2"/>
  <c r="E106" i="2"/>
  <c r="D107" i="2"/>
  <c r="F107" i="2"/>
  <c r="G107" i="2"/>
  <c r="G137" i="2" s="1"/>
  <c r="C110" i="2"/>
  <c r="E110" i="2"/>
  <c r="E111" i="2"/>
  <c r="C112" i="2"/>
  <c r="E112" i="2"/>
  <c r="C113" i="2"/>
  <c r="E113" i="2"/>
  <c r="C114" i="2"/>
  <c r="E114" i="2"/>
  <c r="C116" i="2"/>
  <c r="C117" i="2"/>
  <c r="F120" i="2"/>
  <c r="G120" i="2"/>
  <c r="C122" i="2"/>
  <c r="E122" i="2"/>
  <c r="D126" i="2"/>
  <c r="D136" i="2" s="1"/>
  <c r="E126" i="2"/>
  <c r="F126" i="2"/>
  <c r="K411" i="1"/>
  <c r="K419" i="1"/>
  <c r="K425" i="1"/>
  <c r="K426" i="1"/>
  <c r="G126" i="2"/>
  <c r="G136" i="2" s="1"/>
  <c r="L255" i="1"/>
  <c r="C127" i="2" s="1"/>
  <c r="E127" i="2"/>
  <c r="L256" i="1"/>
  <c r="C128" i="2" s="1"/>
  <c r="L257" i="1"/>
  <c r="C129" i="2" s="1"/>
  <c r="E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K490" i="1" s="1"/>
  <c r="G490" i="1"/>
  <c r="C153" i="2"/>
  <c r="H490" i="1"/>
  <c r="D153" i="2"/>
  <c r="I490" i="1"/>
  <c r="E153" i="2"/>
  <c r="J490" i="1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C156" i="2" s="1"/>
  <c r="G156" i="2" s="1"/>
  <c r="H493" i="1"/>
  <c r="D156" i="2" s="1"/>
  <c r="I493" i="1"/>
  <c r="K493" i="1" s="1"/>
  <c r="E156" i="2"/>
  <c r="J493" i="1"/>
  <c r="F156" i="2" s="1"/>
  <c r="F19" i="1"/>
  <c r="G607" i="1" s="1"/>
  <c r="G19" i="1"/>
  <c r="G608" i="1" s="1"/>
  <c r="J608" i="1" s="1"/>
  <c r="H19" i="1"/>
  <c r="I19" i="1"/>
  <c r="F33" i="1"/>
  <c r="G33" i="1"/>
  <c r="H33" i="1"/>
  <c r="I33" i="1"/>
  <c r="F43" i="1"/>
  <c r="G43" i="1"/>
  <c r="G44" i="1" s="1"/>
  <c r="H608" i="1" s="1"/>
  <c r="H43" i="1"/>
  <c r="H44" i="1" s="1"/>
  <c r="H609" i="1" s="1"/>
  <c r="I43" i="1"/>
  <c r="I44" i="1" s="1"/>
  <c r="H610" i="1" s="1"/>
  <c r="F44" i="1"/>
  <c r="H607" i="1" s="1"/>
  <c r="F169" i="1"/>
  <c r="F184" i="1" s="1"/>
  <c r="I169" i="1"/>
  <c r="I184" i="1" s="1"/>
  <c r="F175" i="1"/>
  <c r="G175" i="1"/>
  <c r="H175" i="1"/>
  <c r="I175" i="1"/>
  <c r="J175" i="1"/>
  <c r="F180" i="1"/>
  <c r="G180" i="1"/>
  <c r="H180" i="1"/>
  <c r="I180" i="1"/>
  <c r="G184" i="1"/>
  <c r="H184" i="1"/>
  <c r="J184" i="1"/>
  <c r="F203" i="1"/>
  <c r="F249" i="1" s="1"/>
  <c r="F263" i="1" s="1"/>
  <c r="G203" i="1"/>
  <c r="H203" i="1"/>
  <c r="I203" i="1"/>
  <c r="J203" i="1"/>
  <c r="J249" i="1" s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G249" i="1"/>
  <c r="G263" i="1" s="1"/>
  <c r="H249" i="1"/>
  <c r="H263" i="1" s="1"/>
  <c r="I249" i="1"/>
  <c r="I263" i="1" s="1"/>
  <c r="K249" i="1"/>
  <c r="K263" i="1"/>
  <c r="F282" i="1"/>
  <c r="F330" i="1" s="1"/>
  <c r="F344" i="1" s="1"/>
  <c r="G282" i="1"/>
  <c r="H282" i="1"/>
  <c r="H330" i="1" s="1"/>
  <c r="H344" i="1" s="1"/>
  <c r="F301" i="1"/>
  <c r="G301" i="1"/>
  <c r="G330" i="1" s="1"/>
  <c r="G344" i="1" s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I400" i="1" s="1"/>
  <c r="F399" i="1"/>
  <c r="F400" i="1" s="1"/>
  <c r="H633" i="1" s="1"/>
  <c r="G399" i="1"/>
  <c r="H399" i="1"/>
  <c r="I399" i="1"/>
  <c r="G400" i="1"/>
  <c r="H635" i="1" s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G425" i="1"/>
  <c r="H425" i="1"/>
  <c r="I425" i="1"/>
  <c r="J425" i="1"/>
  <c r="I426" i="1"/>
  <c r="J426" i="1"/>
  <c r="F438" i="1"/>
  <c r="G438" i="1"/>
  <c r="G630" i="1" s="1"/>
  <c r="J630" i="1" s="1"/>
  <c r="H438" i="1"/>
  <c r="G631" i="1" s="1"/>
  <c r="F444" i="1"/>
  <c r="F451" i="1" s="1"/>
  <c r="H629" i="1" s="1"/>
  <c r="G444" i="1"/>
  <c r="H444" i="1"/>
  <c r="F450" i="1"/>
  <c r="G450" i="1"/>
  <c r="G451" i="1" s="1"/>
  <c r="H630" i="1" s="1"/>
  <c r="H450" i="1"/>
  <c r="H451" i="1" s="1"/>
  <c r="H631" i="1" s="1"/>
  <c r="I450" i="1"/>
  <c r="F460" i="1"/>
  <c r="G460" i="1"/>
  <c r="G466" i="1" s="1"/>
  <c r="H613" i="1" s="1"/>
  <c r="H460" i="1"/>
  <c r="I460" i="1"/>
  <c r="J460" i="1"/>
  <c r="F464" i="1"/>
  <c r="F466" i="1" s="1"/>
  <c r="H612" i="1" s="1"/>
  <c r="J612" i="1" s="1"/>
  <c r="G464" i="1"/>
  <c r="H464" i="1"/>
  <c r="H466" i="1" s="1"/>
  <c r="H614" i="1" s="1"/>
  <c r="I464" i="1"/>
  <c r="J464" i="1"/>
  <c r="J466" i="1" s="1"/>
  <c r="H616" i="1" s="1"/>
  <c r="I466" i="1"/>
  <c r="H615" i="1" s="1"/>
  <c r="K485" i="1"/>
  <c r="K486" i="1"/>
  <c r="K487" i="1"/>
  <c r="K488" i="1"/>
  <c r="K489" i="1"/>
  <c r="K491" i="1"/>
  <c r="K492" i="1"/>
  <c r="F507" i="1"/>
  <c r="G507" i="1"/>
  <c r="H507" i="1"/>
  <c r="I507" i="1"/>
  <c r="G514" i="1"/>
  <c r="G535" i="1" s="1"/>
  <c r="H514" i="1"/>
  <c r="H535" i="1" s="1"/>
  <c r="I514" i="1"/>
  <c r="I535" i="1" s="1"/>
  <c r="J514" i="1"/>
  <c r="K514" i="1"/>
  <c r="K535" i="1" s="1"/>
  <c r="F519" i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J535" i="1"/>
  <c r="L547" i="1"/>
  <c r="L548" i="1"/>
  <c r="L549" i="1"/>
  <c r="F550" i="1"/>
  <c r="F561" i="1" s="1"/>
  <c r="G550" i="1"/>
  <c r="H550" i="1"/>
  <c r="I550" i="1"/>
  <c r="J550" i="1"/>
  <c r="J561" i="1" s="1"/>
  <c r="K550" i="1"/>
  <c r="K561" i="1" s="1"/>
  <c r="L550" i="1"/>
  <c r="L552" i="1"/>
  <c r="L553" i="1"/>
  <c r="L554" i="1"/>
  <c r="F555" i="1"/>
  <c r="G555" i="1"/>
  <c r="H555" i="1"/>
  <c r="I555" i="1"/>
  <c r="J555" i="1"/>
  <c r="K555" i="1"/>
  <c r="L555" i="1"/>
  <c r="L557" i="1"/>
  <c r="L560" i="1" s="1"/>
  <c r="L558" i="1"/>
  <c r="L559" i="1"/>
  <c r="F560" i="1"/>
  <c r="G560" i="1"/>
  <c r="H560" i="1"/>
  <c r="I560" i="1"/>
  <c r="J560" i="1"/>
  <c r="K560" i="1"/>
  <c r="G561" i="1"/>
  <c r="H561" i="1"/>
  <c r="I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8" i="1" s="1"/>
  <c r="G637" i="1" s="1"/>
  <c r="J637" i="1" s="1"/>
  <c r="K587" i="1"/>
  <c r="H588" i="1"/>
  <c r="H639" i="1" s="1"/>
  <c r="I588" i="1"/>
  <c r="J588" i="1"/>
  <c r="H641" i="1" s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9" i="1"/>
  <c r="J609" i="1" s="1"/>
  <c r="G610" i="1"/>
  <c r="J610" i="1" s="1"/>
  <c r="G612" i="1"/>
  <c r="G613" i="1"/>
  <c r="G614" i="1"/>
  <c r="J614" i="1" s="1"/>
  <c r="G615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3" i="1"/>
  <c r="G634" i="1"/>
  <c r="G635" i="1"/>
  <c r="J635" i="1" s="1"/>
  <c r="H637" i="1"/>
  <c r="G639" i="1"/>
  <c r="G640" i="1"/>
  <c r="H640" i="1"/>
  <c r="J640" i="1"/>
  <c r="G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L282" i="1" l="1"/>
  <c r="E101" i="2"/>
  <c r="E107" i="2" s="1"/>
  <c r="J634" i="1"/>
  <c r="J607" i="1"/>
  <c r="F55" i="2"/>
  <c r="F96" i="2" s="1"/>
  <c r="J185" i="1"/>
  <c r="C133" i="2"/>
  <c r="H33" i="13"/>
  <c r="C25" i="13"/>
  <c r="F33" i="13"/>
  <c r="C10" i="10"/>
  <c r="J330" i="1"/>
  <c r="J344" i="1" s="1"/>
  <c r="F31" i="13"/>
  <c r="J633" i="1"/>
  <c r="F137" i="2"/>
  <c r="G42" i="2"/>
  <c r="L400" i="1"/>
  <c r="L514" i="1"/>
  <c r="L535" i="1" s="1"/>
  <c r="F539" i="1"/>
  <c r="J629" i="1"/>
  <c r="J615" i="1"/>
  <c r="G73" i="2"/>
  <c r="G96" i="2" s="1"/>
  <c r="C43" i="2"/>
  <c r="I185" i="1"/>
  <c r="G620" i="1" s="1"/>
  <c r="J620" i="1" s="1"/>
  <c r="F104" i="1"/>
  <c r="F185" i="1" s="1"/>
  <c r="G617" i="1" s="1"/>
  <c r="J617" i="1" s="1"/>
  <c r="G19" i="2"/>
  <c r="J613" i="1"/>
  <c r="E120" i="2"/>
  <c r="G24" i="2"/>
  <c r="G32" i="2" s="1"/>
  <c r="J33" i="1"/>
  <c r="J19" i="1"/>
  <c r="G611" i="1" s="1"/>
  <c r="G542" i="1"/>
  <c r="I653" i="1"/>
  <c r="H650" i="1"/>
  <c r="J641" i="1"/>
  <c r="J631" i="1"/>
  <c r="H638" i="1"/>
  <c r="J638" i="1" s="1"/>
  <c r="J263" i="1"/>
  <c r="J632" i="1"/>
  <c r="C5" i="13"/>
  <c r="C8" i="13"/>
  <c r="E33" i="13"/>
  <c r="D35" i="13" s="1"/>
  <c r="L561" i="1"/>
  <c r="G185" i="1"/>
  <c r="G618" i="1" s="1"/>
  <c r="J618" i="1" s="1"/>
  <c r="D96" i="2"/>
  <c r="J639" i="1"/>
  <c r="C38" i="10"/>
  <c r="C36" i="10"/>
  <c r="L519" i="1"/>
  <c r="C101" i="2"/>
  <c r="L203" i="1"/>
  <c r="C17" i="10"/>
  <c r="F514" i="1"/>
  <c r="F535" i="1" s="1"/>
  <c r="F652" i="1"/>
  <c r="I652" i="1" s="1"/>
  <c r="C16" i="10"/>
  <c r="C106" i="2"/>
  <c r="C25" i="10"/>
  <c r="C102" i="2"/>
  <c r="D119" i="2"/>
  <c r="D120" i="2" s="1"/>
  <c r="D137" i="2" s="1"/>
  <c r="H651" i="1"/>
  <c r="C24" i="10"/>
  <c r="C13" i="10"/>
  <c r="B153" i="2"/>
  <c r="G153" i="2" s="1"/>
  <c r="C105" i="2"/>
  <c r="C32" i="10"/>
  <c r="G651" i="1"/>
  <c r="J43" i="1"/>
  <c r="C111" i="2"/>
  <c r="C120" i="2" s="1"/>
  <c r="F651" i="1"/>
  <c r="L354" i="1"/>
  <c r="E116" i="2"/>
  <c r="C104" i="2"/>
  <c r="L374" i="1"/>
  <c r="G626" i="1" s="1"/>
  <c r="J626" i="1" s="1"/>
  <c r="I282" i="1"/>
  <c r="I330" i="1" s="1"/>
  <c r="I344" i="1" s="1"/>
  <c r="F122" i="2"/>
  <c r="F136" i="2" s="1"/>
  <c r="C123" i="2"/>
  <c r="C136" i="2" s="1"/>
  <c r="D14" i="13"/>
  <c r="C14" i="13" s="1"/>
  <c r="C53" i="2"/>
  <c r="C54" i="2" s="1"/>
  <c r="C55" i="2" s="1"/>
  <c r="C96" i="2" s="1"/>
  <c r="L301" i="1"/>
  <c r="G650" i="1" s="1"/>
  <c r="G654" i="1" s="1"/>
  <c r="C115" i="2"/>
  <c r="G657" i="1" l="1"/>
  <c r="G662" i="1"/>
  <c r="H654" i="1"/>
  <c r="L249" i="1"/>
  <c r="L263" i="1" s="1"/>
  <c r="G622" i="1" s="1"/>
  <c r="J622" i="1" s="1"/>
  <c r="F650" i="1"/>
  <c r="G627" i="1"/>
  <c r="J627" i="1" s="1"/>
  <c r="H636" i="1"/>
  <c r="C107" i="2"/>
  <c r="C137" i="2" s="1"/>
  <c r="G43" i="2"/>
  <c r="G636" i="1"/>
  <c r="G621" i="1"/>
  <c r="J621" i="1" s="1"/>
  <c r="D36" i="10"/>
  <c r="J611" i="1"/>
  <c r="C27" i="10"/>
  <c r="G625" i="1"/>
  <c r="J625" i="1" s="1"/>
  <c r="D38" i="10"/>
  <c r="I651" i="1"/>
  <c r="C41" i="10"/>
  <c r="G616" i="1"/>
  <c r="J44" i="1"/>
  <c r="H611" i="1" s="1"/>
  <c r="E137" i="2"/>
  <c r="K539" i="1"/>
  <c r="K542" i="1" s="1"/>
  <c r="F542" i="1"/>
  <c r="C28" i="10"/>
  <c r="D10" i="10" s="1"/>
  <c r="L330" i="1"/>
  <c r="L344" i="1" s="1"/>
  <c r="G623" i="1" s="1"/>
  <c r="J623" i="1" s="1"/>
  <c r="D31" i="13"/>
  <c r="J616" i="1" l="1"/>
  <c r="H646" i="1"/>
  <c r="D25" i="10"/>
  <c r="D24" i="10"/>
  <c r="D37" i="10"/>
  <c r="D40" i="10"/>
  <c r="D35" i="10"/>
  <c r="D39" i="10"/>
  <c r="C31" i="13"/>
  <c r="D33" i="13"/>
  <c r="D36" i="13" s="1"/>
  <c r="I650" i="1"/>
  <c r="I654" i="1" s="1"/>
  <c r="F654" i="1"/>
  <c r="C30" i="10"/>
  <c r="D18" i="10"/>
  <c r="D22" i="10"/>
  <c r="D20" i="10"/>
  <c r="D11" i="10"/>
  <c r="D28" i="10" s="1"/>
  <c r="D26" i="10"/>
  <c r="D21" i="10"/>
  <c r="D19" i="10"/>
  <c r="D23" i="10"/>
  <c r="D12" i="10"/>
  <c r="D15" i="10"/>
  <c r="D27" i="10"/>
  <c r="D13" i="10"/>
  <c r="H662" i="1"/>
  <c r="H657" i="1"/>
  <c r="D17" i="10"/>
  <c r="D16" i="10"/>
  <c r="J636" i="1"/>
  <c r="I662" i="1" l="1"/>
  <c r="C7" i="10" s="1"/>
  <c r="I657" i="1"/>
  <c r="D41" i="10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6C875AB4-36FC-42DC-87AB-F0434A40891A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414397B6-CA7A-48FF-8FC4-C8EAEEB391E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C6973D8-A3B6-4A8F-9F72-3895DDDF745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B977C99-8BA9-44DA-8030-CE2BBF511D6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1808FD56-B9FF-4480-ACD3-BBA3AB46F20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2F677CF-8D77-4C59-9512-41FF608B756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D2D2C0A0-BA27-48C7-9363-88DA3AB3E57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DA428EB-FED5-48F9-B42A-8EA3972B1B0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7B7FB37-29F4-486B-AB3A-418C891DFA9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66627C1-A355-4FAB-B300-E6B805425DA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182F93C-98CB-4B1E-B041-3C0D2BFEA46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2D738D5-07BA-4AD8-89A8-C5BB47C2CAB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<sst xmlns="http://schemas.openxmlformats.org/spreadsheetml/2006/main" count="3858" uniqueCount="895">
  <si>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</si>
  <si>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</si>
  <si>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</si>
  <si>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</si>
  <si>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</si>
  <si>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</si>
  <si>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</si>
  <si>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</si>
  <si>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</si>
  <si>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</si>
  <si>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</si>
  <si>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</si>
  <si>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</si>
  <si>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</si>
  <si>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</si>
  <si>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</si>
  <si>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</si>
  <si>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</si>
  <si>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</si>
  <si>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</si>
  <si>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</si>
  <si>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</si>
  <si>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</si>
  <si>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</si>
  <si>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</si>
  <si>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</si>
  <si>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</si>
  <si>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</si>
  <si>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</si>
  <si>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</si>
  <si>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</si>
  <si>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</si>
  <si>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</si>
  <si>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</si>
  <si>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</si>
  <si>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</si>
  <si>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</si>
  <si>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</si>
  <si>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</si>
  <si>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</si>
  <si>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</si>
  <si>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</si>
  <si>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</si>
  <si>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</si>
  <si>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</si>
  <si>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</si>
  <si>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</si>
  <si>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</si>
  <si>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</si>
  <si>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</si>
  <si>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</si>
  <si>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</si>
  <si>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</si>
  <si>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</si>
  <si>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</si>
  <si>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</si>
  <si>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</si>
  <si>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</si>
  <si>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</si>
  <si>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</si>
  <si>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</si>
  <si>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</si>
  <si>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</si>
  <si>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</si>
  <si>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</si>
  <si>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</si>
  <si>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</si>
  <si>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</si>
  <si>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</si>
  <si>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</si>
  <si>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</si>
  <si>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</si>
  <si>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</si>
  <si>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</si>
  <si>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</si>
  <si>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</si>
  <si>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</si>
  <si>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</si>
  <si>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</si>
  <si>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</si>
  <si>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</si>
  <si>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</si>
  <si>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</si>
  <si>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</si>
  <si>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</si>
  <si>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</si>
  <si>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</si>
  <si>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</si>
  <si>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</si>
  <si>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</si>
  <si>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</si>
  <si>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</si>
  <si>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</si>
  <si>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</si>
  <si>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</si>
  <si>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</si>
  <si>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</si>
  <si>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</si>
  <si>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</si>
  <si>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</si>
  <si>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</si>
  <si>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</si>
  <si>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</si>
  <si>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</si>
  <si>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</si>
  <si>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</si>
  <si>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</si>
  <si>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</si>
  <si>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</si>
  <si>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</si>
  <si>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</si>
  <si>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</si>
  <si>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</si>
  <si>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</si>
  <si>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</si>
  <si>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</si>
  <si>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</si>
  <si>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</si>
  <si>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</si>
  <si>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</si>
  <si>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</si>
  <si>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</si>
  <si>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</si>
  <si>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</si>
  <si>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</si>
  <si>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</si>
  <si>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</si>
  <si>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</si>
  <si>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</si>
  <si>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</si>
  <si>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</si>
  <si>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</si>
  <si>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</si>
  <si>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</si>
  <si>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</si>
  <si>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</si>
  <si>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</si>
  <si>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</si>
  <si>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</si>
  <si>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</si>
  <si>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</si>
  <si>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</si>
  <si>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</si>
  <si>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</si>
  <si>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</si>
  <si>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</si>
  <si>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</si>
  <si>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</si>
  <si>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</si>
  <si>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</si>
  <si>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</si>
  <si>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</si>
  <si>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</si>
  <si>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</si>
  <si>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</si>
  <si>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</si>
  <si>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</si>
  <si>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</si>
  <si>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</si>
  <si>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</si>
  <si>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</si>
  <si>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</si>
  <si>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</si>
  <si>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</si>
  <si>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</si>
  <si>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</si>
  <si>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</si>
  <si>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</si>
  <si>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</si>
  <si>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</si>
  <si>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</si>
  <si>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</si>
  <si>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</si>
  <si>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</si>
  <si>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</si>
  <si>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</si>
  <si>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</si>
  <si>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</si>
  <si>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</si>
  <si>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</si>
  <si>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</si>
  <si>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</si>
  <si>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</si>
  <si>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</si>
  <si>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</si>
  <si>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</si>
  <si>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</si>
  <si>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</si>
  <si>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</si>
  <si>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</si>
  <si>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</si>
  <si>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</si>
  <si>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</si>
  <si>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</si>
  <si>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</si>
  <si>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</si>
  <si>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</si>
  <si>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</si>
  <si>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</si>
  <si>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</si>
  <si>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</si>
  <si>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</si>
  <si>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</si>
  <si>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</si>
  <si>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</si>
  <si>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</si>
  <si>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</si>
  <si>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</si>
  <si>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</si>
  <si>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</si>
  <si>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</si>
  <si>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</si>
  <si>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</si>
  <si>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</si>
  <si>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</si>
  <si>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</si>
  <si>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</si>
  <si>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</si>
  <si>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</si>
  <si>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</si>
  <si>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</si>
  <si>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</si>
  <si>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</si>
  <si>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</si>
  <si>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</si>
  <si>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</si>
  <si>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</si>
  <si>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</si>
  <si>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</si>
  <si>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</si>
  <si>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</si>
  <si>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</si>
  <si>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</si>
  <si>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</si>
  <si>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</si>
  <si>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</si>
  <si>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</si>
  <si>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</si>
  <si>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</si>
  <si>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</si>
  <si>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</si>
  <si>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</si>
  <si>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</si>
  <si>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</si>
  <si>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</si>
  <si>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</si>
  <si>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</si>
  <si>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</si>
  <si>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</si>
  <si>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</si>
  <si>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</si>
  <si>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</si>
  <si>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</si>
  <si>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</si>
  <si>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</si>
  <si>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</si>
  <si>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</si>
  <si>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</si>
  <si>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</si>
  <si>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</si>
  <si>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</si>
  <si>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</si>
  <si>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</si>
  <si>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</si>
  <si>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</si>
  <si>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</si>
  <si>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</si>
  <si>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</si>
  <si>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</si>
  <si>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</si>
  <si>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</si>
  <si>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</si>
  <si>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</si>
  <si>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</si>
  <si>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</si>
  <si>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</si>
  <si>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</si>
  <si>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</si>
  <si>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</si>
  <si>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</si>
  <si>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</si>
  <si>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</si>
  <si>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</si>
  <si>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</si>
  <si>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</si>
  <si>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</si>
  <si>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</si>
  <si>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</si>
  <si>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</si>
  <si>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</si>
  <si>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</si>
  <si>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</si>
  <si>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</si>
  <si>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</si>
  <si>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</si>
  <si>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</si>
  <si>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</si>
  <si>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</si>
  <si>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</si>
  <si>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</si>
  <si>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</si>
  <si>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</si>
  <si>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</si>
  <si>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</si>
  <si>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</si>
  <si>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</si>
  <si>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</si>
  <si>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</si>
  <si>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</si>
  <si>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</si>
  <si>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</si>
  <si>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</si>
  <si>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</si>
  <si>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</si>
  <si>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</si>
  <si>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</si>
  <si>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</si>
  <si>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</si>
  <si>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</si>
  <si>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</si>
  <si>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</si>
  <si>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</si>
  <si>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</si>
  <si>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</si>
  <si>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</si>
  <si>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</si>
  <si>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</si>
  <si>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</si>
  <si>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</si>
  <si>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</si>
  <si>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</si>
  <si>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</si>
  <si>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</si>
  <si>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</si>
  <si>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</si>
  <si>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</si>
  <si>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</si>
  <si>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</si>
  <si>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</si>
  <si>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</si>
  <si>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</si>
  <si>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</si>
  <si>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</si>
  <si>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</si>
  <si>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</si>
  <si>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</si>
  <si>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</si>
  <si>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</si>
  <si>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</si>
  <si>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</si>
  <si>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</si>
  <si>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</si>
  <si>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</si>
  <si>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</si>
  <si>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</si>
  <si>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</si>
  <si>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</si>
  <si>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</si>
  <si>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</si>
  <si>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</si>
  <si>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</si>
  <si>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</si>
  <si>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</si>
  <si>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</si>
  <si>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</si>
  <si>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</si>
  <si>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</si>
  <si>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</si>
  <si>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</si>
  <si>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</si>
  <si>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</si>
  <si>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</si>
  <si>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</si>
  <si>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</si>
  <si>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</si>
  <si>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</si>
  <si>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</si>
  <si>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</si>
  <si>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</si>
  <si>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</si>
  <si>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</si>
  <si>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</si>
  <si>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</si>
  <si>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</si>
  <si>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</si>
  <si>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</si>
  <si>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</si>
  <si>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</si>
  <si>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</si>
  <si>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</si>
  <si>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</si>
  <si>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</si>
  <si>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</si>
  <si>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</si>
  <si>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</si>
  <si>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</si>
  <si>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</si>
  <si>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</si>
  <si>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</si>
  <si>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</si>
  <si>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</si>
  <si>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</si>
  <si>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</si>
  <si>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</si>
  <si>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</si>
  <si>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</si>
  <si>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</si>
  <si>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</si>
  <si>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</si>
  <si>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</si>
  <si>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</si>
  <si>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</si>
  <si>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</si>
  <si>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</si>
  <si>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</si>
  <si>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</si>
  <si>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</si>
  <si>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</si>
  <si>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</si>
  <si>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</si>
  <si>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</si>
  <si>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</si>
  <si>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</si>
  <si>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</si>
  <si>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</si>
  <si>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</si>
  <si>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</si>
  <si>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</si>
  <si>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</si>
  <si>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</si>
  <si>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</si>
  <si>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</si>
  <si>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</si>
  <si>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</si>
  <si>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</si>
  <si>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</si>
  <si>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</si>
  <si>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</si>
  <si>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</si>
  <si>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</si>
  <si>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</si>
  <si>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</si>
  <si>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</si>
  <si>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</si>
  <si>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</si>
  <si>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</si>
  <si>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</si>
  <si>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</si>
  <si>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</si>
  <si>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</si>
  <si>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</si>
  <si>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</si>
  <si>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</si>
  <si>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</si>
  <si>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</si>
  <si>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</si>
  <si>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</si>
  <si>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</si>
  <si>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</si>
  <si>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</si>
  <si>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</si>
  <si>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</si>
  <si>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</si>
  <si>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</si>
  <si>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</si>
  <si>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</si>
  <si>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</si>
  <si>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</si>
  <si>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</si>
  <si>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</si>
  <si>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</si>
  <si>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</si>
  <si>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</si>
  <si>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</si>
  <si>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</si>
  <si>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</si>
  <si>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</si>
  <si>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</si>
  <si>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</si>
  <si>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</si>
  <si>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</si>
  <si>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</si>
  <si>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</si>
  <si>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</si>
  <si>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</si>
  <si>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</si>
  <si>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</si>
  <si>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</si>
  <si>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</si>
  <si>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</si>
  <si>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</si>
  <si>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</si>
  <si>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</si>
  <si>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</si>
  <si>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</si>
  <si>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</si>
  <si>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</si>
  <si>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</si>
  <si>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</si>
  <si>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</si>
  <si>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</si>
  <si>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</si>
  <si>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</si>
  <si>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</si>
  <si>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</si>
  <si>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</si>
  <si>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</si>
  <si>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</si>
  <si>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</si>
  <si>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</si>
  <si>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</si>
  <si>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</si>
  <si>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</si>
  <si>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</si>
  <si>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</si>
  <si>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</si>
  <si>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</si>
  <si>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</si>
  <si>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</si>
  <si>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</si>
  <si>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</si>
  <si>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</si>
  <si>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</si>
  <si>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</si>
  <si>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</si>
  <si>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</si>
  <si>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</si>
  <si>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</si>
  <si>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</si>
  <si>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</si>
  <si>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</si>
  <si>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</si>
  <si>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</si>
  <si>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</si>
  <si>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</si>
  <si>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</si>
  <si>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</si>
  <si>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</si>
  <si>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</si>
  <si>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</si>
  <si>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</si>
  <si>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</si>
  <si>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</si>
  <si>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</si>
  <si>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</si>
  <si>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</si>
  <si>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</si>
  <si>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</si>
  <si>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</si>
  <si>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</si>
  <si>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</si>
  <si>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</si>
  <si>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</si>
  <si>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</si>
  <si>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</si>
  <si>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</si>
  <si>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</si>
  <si>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</si>
  <si>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</si>
  <si>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</si>
  <si>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</si>
  <si>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</si>
  <si>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</si>
  <si>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</si>
  <si>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</si>
  <si>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</si>
  <si>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</si>
  <si>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</si>
  <si>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</si>
  <si>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</si>
  <si>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</si>
  <si>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</si>
  <si>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</si>
  <si>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</si>
  <si>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</si>
  <si>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</si>
  <si>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</si>
  <si>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</si>
  <si>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</si>
  <si>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</si>
  <si>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</si>
  <si>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</si>
  <si>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</si>
  <si>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</si>
  <si>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</si>
  <si>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</si>
  <si>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</si>
  <si>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</si>
  <si>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</si>
  <si>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</si>
  <si>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</si>
  <si>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</si>
  <si>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</si>
  <si>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</si>
  <si>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</si>
  <si>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</si>
  <si>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</si>
  <si>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</si>
  <si>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</si>
  <si>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</si>
  <si>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</si>
  <si>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</si>
  <si>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</si>
  <si>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</si>
  <si>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</si>
  <si>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</si>
  <si>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</si>
  <si>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</si>
  <si>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</si>
  <si>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</si>
  <si>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</si>
  <si>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</si>
  <si>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</si>
  <si>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</si>
  <si>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</si>
  <si>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</si>
  <si>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</si>
  <si>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</si>
  <si>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</si>
  <si>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</si>
  <si>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</si>
  <si>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</si>
  <si>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</si>
  <si>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</si>
  <si>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</si>
  <si>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</si>
  <si>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</si>
  <si>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</si>
  <si>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</si>
  <si>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</si>
  <si>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</si>
  <si>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</si>
  <si>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</si>
  <si>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</si>
  <si>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</si>
  <si>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</si>
  <si>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</si>
  <si>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</si>
  <si>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</si>
  <si>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</si>
  <si>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</si>
  <si>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</si>
  <si>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</si>
  <si>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</si>
  <si>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</si>
  <si>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</si>
  <si>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</si>
  <si>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</si>
  <si>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</si>
  <si>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</si>
  <si>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</si>
  <si>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</si>
  <si>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</si>
  <si>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</si>
  <si>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</si>
  <si>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</si>
  <si>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</si>
  <si>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</si>
  <si>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</si>
  <si>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</si>
  <si>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</si>
  <si>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</si>
  <si>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</si>
  <si>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</si>
  <si>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</si>
  <si>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</si>
  <si>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</si>
  <si>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</si>
  <si>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</si>
  <si>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</si>
  <si>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</si>
  <si>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</si>
  <si>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</si>
  <si>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</si>
  <si>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</si>
  <si>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</si>
  <si>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</si>
  <si>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</si>
  <si>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</si>
  <si>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</si>
  <si>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</si>
  <si>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</si>
  <si>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</si>
  <si>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</si>
  <si>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</si>
  <si>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</si>
  <si>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</si>
  <si>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</si>
  <si>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</si>
  <si>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</si>
  <si>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</si>
  <si>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</si>
  <si>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</si>
  <si>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</si>
  <si>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</si>
  <si>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</si>
  <si>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</si>
  <si>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</si>
  <si>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</si>
  <si>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</si>
  <si>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</si>
  <si>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</si>
  <si>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</si>
  <si>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</si>
  <si>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</si>
  <si>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</si>
  <si>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</si>
  <si>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</si>
  <si>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</si>
  <si>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</si>
  <si>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</si>
  <si>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</si>
  <si>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</si>
  <si>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</si>
  <si>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</si>
  <si>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</si>
  <si>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</si>
  <si>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</si>
  <si>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</si>
  <si>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</si>
  <si>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</si>
  <si>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</si>
  <si>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</si>
  <si>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</si>
  <si>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</si>
  <si>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</si>
  <si>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</si>
  <si>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</si>
  <si>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</si>
  <si>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</si>
  <si>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</si>
  <si>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</si>
  <si>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</si>
  <si>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</si>
  <si>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</si>
  <si>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</si>
  <si>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</si>
  <si>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</si>
  <si>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</si>
  <si>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</si>
  <si>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</si>
  <si>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</si>
  <si>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</si>
  <si>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</si>
  <si>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</si>
  <si>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</si>
  <si>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</si>
  <si>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</si>
  <si>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</si>
  <si>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</si>
  <si>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</si>
  <si>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</si>
  <si>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</si>
  <si>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</si>
  <si>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</si>
  <si>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</si>
  <si>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</si>
  <si>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</si>
  <si>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</si>
  <si>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</si>
  <si>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</si>
  <si>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</si>
  <si>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</si>
  <si>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</si>
  <si>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</si>
  <si>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</si>
  <si>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</si>
  <si>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</si>
  <si>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</si>
  <si>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</si>
  <si>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</si>
  <si>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</si>
  <si>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</si>
  <si>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</si>
  <si>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</si>
  <si>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</si>
  <si>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</si>
  <si>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</si>
  <si>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</si>
  <si>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</si>
  <si>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</si>
  <si>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</si>
  <si>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</si>
  <si>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</si>
  <si>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</si>
  <si>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</si>
  <si>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</si>
  <si>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</si>
  <si>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</si>
  <si>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</si>
  <si>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</si>
  <si>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</si>
  <si>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</si>
  <si>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</si>
  <si>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</si>
  <si>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</si>
  <si>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</si>
  <si>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</si>
  <si>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</si>
  <si>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</si>
  <si>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</si>
  <si>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</si>
  <si>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</si>
  <si>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</si>
  <si>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</si>
  <si>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</si>
  <si>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</si>
  <si>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</si>
  <si>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</si>
  <si>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</si>
  <si>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</si>
  <si>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</si>
  <si>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</si>
  <si>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</si>
  <si>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</si>
  <si>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</si>
  <si>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</si>
  <si>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</si>
  <si>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</si>
  <si>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</si>
  <si>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</si>
  <si>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</si>
  <si>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</si>
  <si>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</si>
  <si>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</si>
  <si>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</si>
  <si>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</si>
  <si>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</si>
  <si>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</si>
  <si>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</si>
  <si>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</si>
  <si>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</si>
  <si>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</si>
  <si>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</si>
  <si>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</si>
  <si>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</si>
  <si>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</si>
  <si>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</si>
  <si>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</si>
  <si>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</si>
  <si>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</si>
  <si>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</si>
  <si>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</si>
  <si>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</si>
  <si>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</si>
  <si>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</si>
  <si>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</si>
  <si>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</si>
  <si>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</si>
  <si>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</si>
  <si>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</si>
  <si>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</si>
  <si>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</si>
  <si>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</si>
  <si>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</si>
  <si>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</si>
  <si>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</si>
  <si>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</si>
  <si>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</si>
  <si>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</si>
  <si>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</si>
  <si>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</si>
  <si>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</si>
  <si>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</si>
  <si>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</si>
  <si>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</si>
  <si>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</si>
  <si>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</si>
  <si>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</si>
  <si>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</si>
  <si>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</si>
  <si>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</si>
  <si>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</si>
  <si>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</si>
  <si>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</si>
  <si>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</si>
  <si>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</si>
  <si>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</si>
  <si>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</si>
  <si>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</si>
  <si>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</si>
  <si>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</si>
  <si>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</si>
  <si>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</si>
  <si>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</si>
  <si>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</si>
  <si>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</si>
  <si>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</si>
  <si>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</si>
  <si>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</si>
  <si>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</si>
  <si>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</si>
  <si>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</si>
  <si>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</si>
  <si>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Marlow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</si>
</sst>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FD06-35AA-4A58-9D65-3834AE668C83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407" sqref="H40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341</v>
      </c>
      <c r="C2" s="21">
        <v>341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66786.4-4961.86</f>
        <v>61824.539999999994</v>
      </c>
      <c r="G9" s="18"/>
      <c r="H9" s="18">
        <v>932.15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321222.53000000003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3511.26</v>
      </c>
      <c r="G13" s="18"/>
      <c r="H13" s="18">
        <v>2109.06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65335.799999999996</v>
      </c>
      <c r="G19" s="41">
        <f>SUM(G9:G18)</f>
        <v>0</v>
      </c>
      <c r="H19" s="41">
        <f>SUM(H9:H18)</f>
        <v>3041.21</v>
      </c>
      <c r="I19" s="41">
        <f>SUM(I9:I18)</f>
        <v>0</v>
      </c>
      <c r="J19" s="41">
        <f>SUM(J9:J18)</f>
        <v>321222.53000000003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8362.89</v>
      </c>
      <c r="G24" s="18"/>
      <c r="H24" s="18">
        <v>2945.14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3697.53</v>
      </c>
      <c r="G25" s="18"/>
      <c r="H25" s="18">
        <v>96.07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2236.52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14296.94</v>
      </c>
      <c r="G33" s="41">
        <f>SUM(G23:G32)</f>
        <v>0</v>
      </c>
      <c r="H33" s="41">
        <f>SUM(H23:H32)</f>
        <v>3041.21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6413.08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321222.53000000003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44625.78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51038.86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321222.53000000003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65335.8</v>
      </c>
      <c r="G44" s="41">
        <f>G43+G33</f>
        <v>0</v>
      </c>
      <c r="H44" s="41">
        <f>H43+H33</f>
        <v>3041.21</v>
      </c>
      <c r="I44" s="41">
        <f>I43+I33</f>
        <v>0</v>
      </c>
      <c r="J44" s="41">
        <f>J43+J33</f>
        <v>321222.53000000003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605479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605479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1441.36</v>
      </c>
      <c r="G88" s="18"/>
      <c r="H88" s="18"/>
      <c r="I88" s="18"/>
      <c r="J88" s="18">
        <f>486.07+1507.32</f>
        <v>1993.3899999999999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1272.48+3084.23</f>
        <v>4356.71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5798.07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1993.3899999999999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611277.06999999995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1993.3899999999999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425683.48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159781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163321.51999999999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748786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17416.560000000001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17416.560000000001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766202.56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666.33+7685.17</f>
        <v>8351.5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2761.2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54.86+983</f>
        <v>1037.8599999999999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21093.14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21093.14</v>
      </c>
      <c r="G154" s="41">
        <f>SUM(G142:G153)</f>
        <v>0</v>
      </c>
      <c r="H154" s="41">
        <f>SUM(H142:H153)</f>
        <v>12150.560000000001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21093.14</v>
      </c>
      <c r="G161" s="41">
        <f>G139+G154+SUM(G155:G160)</f>
        <v>0</v>
      </c>
      <c r="H161" s="41">
        <f>H139+H154+SUM(H155:H160)</f>
        <v>12150.560000000001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8732.2900000000009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8732.2900000000009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16331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16331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16331</v>
      </c>
      <c r="G184" s="41">
        <f>G175+SUM(G180:G183)</f>
        <v>8732.2900000000009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1414903.7699999998</v>
      </c>
      <c r="G185" s="47">
        <f>G104+G132+G161+G184</f>
        <v>8732.2900000000009</v>
      </c>
      <c r="H185" s="47">
        <f>H104+H132+H161+H184</f>
        <v>12150.560000000001</v>
      </c>
      <c r="I185" s="47">
        <f>I104+I132+I161+I184</f>
        <v>0</v>
      </c>
      <c r="J185" s="47">
        <f>J104+J132+J184</f>
        <v>1993.3899999999999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180863.64</v>
      </c>
      <c r="G189" s="18">
        <v>82051.929999999993</v>
      </c>
      <c r="H189" s="18">
        <v>7750.19</v>
      </c>
      <c r="I189" s="18">
        <v>7293.68</v>
      </c>
      <c r="J189" s="18"/>
      <c r="K189" s="18"/>
      <c r="L189" s="19">
        <f>SUM(F189:K189)</f>
        <v>277959.44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58859.64</v>
      </c>
      <c r="G190" s="18">
        <v>25138.06</v>
      </c>
      <c r="H190" s="18">
        <v>100378.52</v>
      </c>
      <c r="I190" s="18">
        <v>663.37</v>
      </c>
      <c r="J190" s="18"/>
      <c r="K190" s="18"/>
      <c r="L190" s="19">
        <f>SUM(F190:K190)</f>
        <v>185039.59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1920</v>
      </c>
      <c r="G192" s="18">
        <v>153.02000000000001</v>
      </c>
      <c r="H192" s="18"/>
      <c r="I192" s="18"/>
      <c r="J192" s="18"/>
      <c r="K192" s="18"/>
      <c r="L192" s="19">
        <f>SUM(F192:K192)</f>
        <v>2073.02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5884.33</v>
      </c>
      <c r="G194" s="18">
        <f>468.9</f>
        <v>468.9</v>
      </c>
      <c r="H194" s="18">
        <f>19635.78+5040+16057.93+13742</f>
        <v>54475.71</v>
      </c>
      <c r="I194" s="18">
        <f>49.93+420.31+37</f>
        <v>507.24</v>
      </c>
      <c r="J194" s="18"/>
      <c r="K194" s="18"/>
      <c r="L194" s="19">
        <f t="shared" ref="L194:L200" si="0">SUM(F194:K194)</f>
        <v>61336.18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250+7354.1</f>
        <v>7604.1</v>
      </c>
      <c r="G195" s="18">
        <f>19.13+586.3</f>
        <v>605.42999999999995</v>
      </c>
      <c r="H195" s="18">
        <v>2694.96</v>
      </c>
      <c r="I195" s="18">
        <v>1321.07</v>
      </c>
      <c r="J195" s="18"/>
      <c r="K195" s="18"/>
      <c r="L195" s="19">
        <f t="shared" si="0"/>
        <v>12225.560000000001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2488.75+1750</f>
        <v>4238.75</v>
      </c>
      <c r="G196" s="18">
        <f>198.07+139.48+3000</f>
        <v>3337.55</v>
      </c>
      <c r="H196" s="18">
        <f>304.64+50+100+5000+52.61+50+53612</f>
        <v>59169.25</v>
      </c>
      <c r="I196" s="18">
        <v>418.87</v>
      </c>
      <c r="J196" s="18"/>
      <c r="K196" s="18"/>
      <c r="L196" s="19">
        <f t="shared" si="0"/>
        <v>67164.42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85224.01</v>
      </c>
      <c r="G197" s="18">
        <v>23026.02</v>
      </c>
      <c r="H197" s="18">
        <v>5165.4399999999996</v>
      </c>
      <c r="I197" s="18">
        <v>1475.43</v>
      </c>
      <c r="J197" s="18"/>
      <c r="K197" s="18"/>
      <c r="L197" s="19">
        <f t="shared" si="0"/>
        <v>114890.9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14175.74</v>
      </c>
      <c r="G199" s="18">
        <v>1313.71</v>
      </c>
      <c r="H199" s="18">
        <v>25886.42</v>
      </c>
      <c r="I199" s="18">
        <v>15566.35</v>
      </c>
      <c r="J199" s="18">
        <v>672.63</v>
      </c>
      <c r="K199" s="18"/>
      <c r="L199" s="19">
        <f t="shared" si="0"/>
        <v>57614.849999999991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33861.29+13717.5+100</f>
        <v>47678.79</v>
      </c>
      <c r="I200" s="18"/>
      <c r="J200" s="18"/>
      <c r="K200" s="18"/>
      <c r="L200" s="19">
        <f t="shared" si="0"/>
        <v>47678.79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>
        <v>555.24</v>
      </c>
      <c r="H201" s="18"/>
      <c r="I201" s="18"/>
      <c r="J201" s="18"/>
      <c r="K201" s="18"/>
      <c r="L201" s="19">
        <f>SUM(F201:K201)</f>
        <v>555.24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358770.21</v>
      </c>
      <c r="G203" s="41">
        <f t="shared" si="1"/>
        <v>136649.85999999996</v>
      </c>
      <c r="H203" s="41">
        <f t="shared" si="1"/>
        <v>303199.27999999997</v>
      </c>
      <c r="I203" s="41">
        <f t="shared" si="1"/>
        <v>27246.010000000002</v>
      </c>
      <c r="J203" s="41">
        <f t="shared" si="1"/>
        <v>672.63</v>
      </c>
      <c r="K203" s="41">
        <f t="shared" si="1"/>
        <v>0</v>
      </c>
      <c r="L203" s="41">
        <f t="shared" si="1"/>
        <v>826537.99000000022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81555.77</v>
      </c>
      <c r="I207" s="18"/>
      <c r="J207" s="18"/>
      <c r="K207" s="18"/>
      <c r="L207" s="19">
        <f>SUM(F207:K207)</f>
        <v>81555.77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75301.259999999995</v>
      </c>
      <c r="I208" s="18"/>
      <c r="J208" s="18"/>
      <c r="K208" s="18"/>
      <c r="L208" s="19">
        <f>SUM(F208:K208)</f>
        <v>75301.259999999995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8895.15</v>
      </c>
      <c r="I218" s="18"/>
      <c r="J218" s="18"/>
      <c r="K218" s="18"/>
      <c r="L218" s="19">
        <f t="shared" si="2"/>
        <v>8895.15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165752.18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165752.18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198980</v>
      </c>
      <c r="I225" s="18"/>
      <c r="J225" s="18"/>
      <c r="K225" s="18"/>
      <c r="L225" s="19">
        <f>SUM(F225:K225)</f>
        <v>198980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165384</v>
      </c>
      <c r="I226" s="18"/>
      <c r="J226" s="18"/>
      <c r="K226" s="18"/>
      <c r="L226" s="19">
        <f>SUM(F226:K226)</f>
        <v>165384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17790.3</v>
      </c>
      <c r="I236" s="18"/>
      <c r="J236" s="18"/>
      <c r="K236" s="18"/>
      <c r="L236" s="19">
        <f t="shared" si="4"/>
        <v>17790.3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382154.3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382154.3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>
        <v>1000</v>
      </c>
      <c r="L245" s="19">
        <f t="shared" si="6"/>
        <v>1000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1000</v>
      </c>
      <c r="L248" s="41">
        <f>SUM(F248:K248)</f>
        <v>1000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358770.21</v>
      </c>
      <c r="G249" s="41">
        <f t="shared" si="8"/>
        <v>136649.85999999996</v>
      </c>
      <c r="H249" s="41">
        <f t="shared" si="8"/>
        <v>851105.76</v>
      </c>
      <c r="I249" s="41">
        <f t="shared" si="8"/>
        <v>27246.010000000002</v>
      </c>
      <c r="J249" s="41">
        <f t="shared" si="8"/>
        <v>672.63</v>
      </c>
      <c r="K249" s="41">
        <f t="shared" si="8"/>
        <v>1000</v>
      </c>
      <c r="L249" s="41">
        <f t="shared" si="8"/>
        <v>1375444.4700000002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8732.2900000000009</v>
      </c>
      <c r="L255" s="19">
        <f>SUM(F255:K255)</f>
        <v>8732.2900000000009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8732.2900000000009</v>
      </c>
      <c r="L262" s="41">
        <f t="shared" si="9"/>
        <v>8732.2900000000009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358770.21</v>
      </c>
      <c r="G263" s="42">
        <f t="shared" si="11"/>
        <v>136649.85999999996</v>
      </c>
      <c r="H263" s="42">
        <f t="shared" si="11"/>
        <v>851105.76</v>
      </c>
      <c r="I263" s="42">
        <f t="shared" si="11"/>
        <v>27246.010000000002</v>
      </c>
      <c r="J263" s="42">
        <f t="shared" si="11"/>
        <v>672.63</v>
      </c>
      <c r="K263" s="42">
        <f t="shared" si="11"/>
        <v>9732.2900000000009</v>
      </c>
      <c r="L263" s="42">
        <f t="shared" si="11"/>
        <v>1384176.7600000002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>
        <f>1072.5+5164.88+107.5</f>
        <v>6344.88</v>
      </c>
      <c r="J268" s="18">
        <f>666.33+304.29+1036</f>
        <v>2006.6200000000001</v>
      </c>
      <c r="K268" s="18"/>
      <c r="L268" s="19">
        <f>SUM(F268:K268)</f>
        <v>8351.5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>
        <v>52.75</v>
      </c>
      <c r="J269" s="18">
        <v>983</v>
      </c>
      <c r="K269" s="18"/>
      <c r="L269" s="19">
        <f>SUM(F269:K269)</f>
        <v>1035.75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2600</v>
      </c>
      <c r="I274" s="18"/>
      <c r="J274" s="18"/>
      <c r="K274" s="18"/>
      <c r="L274" s="19">
        <f t="shared" si="12"/>
        <v>2600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163.31</v>
      </c>
      <c r="L277" s="19">
        <f t="shared" si="12"/>
        <v>163.31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2600</v>
      </c>
      <c r="I282" s="42">
        <f t="shared" si="13"/>
        <v>6397.63</v>
      </c>
      <c r="J282" s="42">
        <f t="shared" si="13"/>
        <v>2989.62</v>
      </c>
      <c r="K282" s="42">
        <f t="shared" si="13"/>
        <v>163.31</v>
      </c>
      <c r="L282" s="41">
        <f t="shared" si="13"/>
        <v>12150.56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2600</v>
      </c>
      <c r="I330" s="41">
        <f t="shared" si="20"/>
        <v>6397.63</v>
      </c>
      <c r="J330" s="41">
        <f t="shared" si="20"/>
        <v>2989.62</v>
      </c>
      <c r="K330" s="41">
        <f t="shared" si="20"/>
        <v>163.31</v>
      </c>
      <c r="L330" s="41">
        <f t="shared" si="20"/>
        <v>12150.56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2600</v>
      </c>
      <c r="I344" s="41">
        <f>I330</f>
        <v>6397.63</v>
      </c>
      <c r="J344" s="41">
        <f>J330</f>
        <v>2989.62</v>
      </c>
      <c r="K344" s="47">
        <f>K330+K343</f>
        <v>163.31</v>
      </c>
      <c r="L344" s="41">
        <f>L330+L343</f>
        <v>12150.56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6190.41</v>
      </c>
      <c r="G350" s="18">
        <f>473.57+107.18</f>
        <v>580.75</v>
      </c>
      <c r="H350" s="18">
        <v>1500</v>
      </c>
      <c r="I350" s="18">
        <v>461.13</v>
      </c>
      <c r="J350" s="18"/>
      <c r="K350" s="18"/>
      <c r="L350" s="13">
        <f>SUM(F350:K350)</f>
        <v>8732.2899999999991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6190.41</v>
      </c>
      <c r="G354" s="47">
        <f t="shared" si="22"/>
        <v>580.75</v>
      </c>
      <c r="H354" s="47">
        <f t="shared" si="22"/>
        <v>1500</v>
      </c>
      <c r="I354" s="47">
        <f t="shared" si="22"/>
        <v>461.13</v>
      </c>
      <c r="J354" s="47">
        <f t="shared" si="22"/>
        <v>0</v>
      </c>
      <c r="K354" s="47">
        <f t="shared" si="22"/>
        <v>0</v>
      </c>
      <c r="L354" s="47">
        <f t="shared" si="22"/>
        <v>8732.2899999999991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461.13</v>
      </c>
      <c r="G360" s="63"/>
      <c r="H360" s="63"/>
      <c r="I360" s="56">
        <f>SUM(F360:H360)</f>
        <v>461.13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461.13</v>
      </c>
      <c r="G361" s="47">
        <f>SUM(G359:G360)</f>
        <v>0</v>
      </c>
      <c r="H361" s="47">
        <f>SUM(H359:H360)</f>
        <v>0</v>
      </c>
      <c r="I361" s="47">
        <f>SUM(I359:I360)</f>
        <v>461.13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486.07</v>
      </c>
      <c r="I381" s="18"/>
      <c r="J381" s="24" t="s">
        <v>312</v>
      </c>
      <c r="K381" s="24" t="s">
        <v>312</v>
      </c>
      <c r="L381" s="56">
        <f t="shared" si="25"/>
        <v>486.07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486.07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486.07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1507.32</v>
      </c>
      <c r="I390" s="18"/>
      <c r="J390" s="24" t="s">
        <v>312</v>
      </c>
      <c r="K390" s="24" t="s">
        <v>312</v>
      </c>
      <c r="L390" s="56">
        <f t="shared" si="26"/>
        <v>1507.32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1507.32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1507.32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1993.3899999999999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1993.3899999999999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16331</v>
      </c>
      <c r="L407" s="56">
        <f t="shared" si="27"/>
        <v>16331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16331</v>
      </c>
      <c r="L411" s="47">
        <f t="shared" si="28"/>
        <v>16331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16331</v>
      </c>
      <c r="L426" s="47">
        <f t="shared" si="32"/>
        <v>16331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81508.929999999993</v>
      </c>
      <c r="G432" s="18">
        <v>239713.6</v>
      </c>
      <c r="H432" s="18"/>
      <c r="I432" s="56">
        <f t="shared" si="33"/>
        <v>321222.53000000003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81508.929999999993</v>
      </c>
      <c r="G438" s="13">
        <f>SUM(G431:G437)</f>
        <v>239713.6</v>
      </c>
      <c r="H438" s="13">
        <f>SUM(H431:H437)</f>
        <v>0</v>
      </c>
      <c r="I438" s="13">
        <f>SUM(I431:I437)</f>
        <v>321222.53000000003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81508.929999999993</v>
      </c>
      <c r="G449" s="18">
        <v>239713.6</v>
      </c>
      <c r="H449" s="18"/>
      <c r="I449" s="56">
        <f>SUM(F449:H449)</f>
        <v>321222.53000000003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81508.929999999993</v>
      </c>
      <c r="G450" s="83">
        <f>SUM(G446:G449)</f>
        <v>239713.6</v>
      </c>
      <c r="H450" s="83">
        <f>SUM(H446:H449)</f>
        <v>0</v>
      </c>
      <c r="I450" s="83">
        <f>SUM(I446:I449)</f>
        <v>321222.53000000003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81508.929999999993</v>
      </c>
      <c r="G451" s="42">
        <f>G444+G450</f>
        <v>239713.6</v>
      </c>
      <c r="H451" s="42">
        <f>H444+H450</f>
        <v>0</v>
      </c>
      <c r="I451" s="42">
        <f>I444+I450</f>
        <v>321222.53000000003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20311.849999999999</v>
      </c>
      <c r="G455" s="18">
        <v>0</v>
      </c>
      <c r="H455" s="18">
        <v>0</v>
      </c>
      <c r="I455" s="18">
        <v>0</v>
      </c>
      <c r="J455" s="18">
        <v>335560.14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1414903.77</v>
      </c>
      <c r="G458" s="18">
        <v>8732.2900000000009</v>
      </c>
      <c r="H458" s="18">
        <v>12150.56</v>
      </c>
      <c r="I458" s="18"/>
      <c r="J458" s="18">
        <f>486.07+1507.32</f>
        <v>1993.3899999999999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1414903.77</v>
      </c>
      <c r="G460" s="53">
        <f>SUM(G458:G459)</f>
        <v>8732.2900000000009</v>
      </c>
      <c r="H460" s="53">
        <f>SUM(H458:H459)</f>
        <v>12150.56</v>
      </c>
      <c r="I460" s="53">
        <f>SUM(I458:I459)</f>
        <v>0</v>
      </c>
      <c r="J460" s="53">
        <f>SUM(J458:J459)</f>
        <v>1993.3899999999999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1384176.76</v>
      </c>
      <c r="G462" s="18">
        <v>8732.2900000000009</v>
      </c>
      <c r="H462" s="18">
        <v>12150.56</v>
      </c>
      <c r="I462" s="18"/>
      <c r="J462" s="18">
        <v>16331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1384176.76</v>
      </c>
      <c r="G464" s="53">
        <f>SUM(G462:G463)</f>
        <v>8732.2900000000009</v>
      </c>
      <c r="H464" s="53">
        <f>SUM(H462:H463)</f>
        <v>12150.56</v>
      </c>
      <c r="I464" s="53">
        <f>SUM(I462:I463)</f>
        <v>0</v>
      </c>
      <c r="J464" s="53">
        <f>SUM(J462:J463)</f>
        <v>16331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51038.860000000102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321222.53000000003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33479.94+25379.7</f>
        <v>58859.64</v>
      </c>
      <c r="G511" s="18">
        <f>16485.16+1307.01+89.1+100.36+4459.73+2507.7+189</f>
        <v>25138.059999999998</v>
      </c>
      <c r="H511" s="18">
        <f>1675+97328.52+1375</f>
        <v>100378.52</v>
      </c>
      <c r="I511" s="18">
        <f>358.92+304.45+52.75</f>
        <v>716.12</v>
      </c>
      <c r="J511" s="18">
        <v>983</v>
      </c>
      <c r="K511" s="18"/>
      <c r="L511" s="88">
        <f>SUM(F511:K511)</f>
        <v>186075.34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75301.259999999995</v>
      </c>
      <c r="I512" s="18"/>
      <c r="J512" s="18"/>
      <c r="K512" s="18"/>
      <c r="L512" s="88">
        <f>SUM(F512:K512)</f>
        <v>75301.259999999995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165384</v>
      </c>
      <c r="I513" s="18"/>
      <c r="J513" s="18"/>
      <c r="K513" s="18"/>
      <c r="L513" s="88">
        <f>SUM(F513:K513)</f>
        <v>165384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58859.64</v>
      </c>
      <c r="G514" s="108">
        <f t="shared" ref="G514:L514" si="35">SUM(G511:G513)</f>
        <v>25138.059999999998</v>
      </c>
      <c r="H514" s="108">
        <f t="shared" si="35"/>
        <v>341063.78</v>
      </c>
      <c r="I514" s="108">
        <f t="shared" si="35"/>
        <v>716.12</v>
      </c>
      <c r="J514" s="108">
        <f t="shared" si="35"/>
        <v>983</v>
      </c>
      <c r="K514" s="108">
        <f t="shared" si="35"/>
        <v>0</v>
      </c>
      <c r="L514" s="89">
        <f t="shared" si="35"/>
        <v>426760.6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9776.1+5040+16057.93+13742</f>
        <v>44616.03</v>
      </c>
      <c r="I516" s="18">
        <v>37</v>
      </c>
      <c r="J516" s="18"/>
      <c r="K516" s="18"/>
      <c r="L516" s="88">
        <f>SUM(F516:K516)</f>
        <v>44653.03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44616.03</v>
      </c>
      <c r="I519" s="89">
        <f t="shared" si="36"/>
        <v>37</v>
      </c>
      <c r="J519" s="89">
        <f t="shared" si="36"/>
        <v>0</v>
      </c>
      <c r="K519" s="89">
        <f t="shared" si="36"/>
        <v>0</v>
      </c>
      <c r="L519" s="89">
        <f t="shared" si="36"/>
        <v>44653.03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4960</v>
      </c>
      <c r="I521" s="18"/>
      <c r="J521" s="18"/>
      <c r="K521" s="18">
        <v>2.11</v>
      </c>
      <c r="L521" s="88">
        <f>SUM(F521:K521)</f>
        <v>4962.1099999999997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4960</v>
      </c>
      <c r="I524" s="89">
        <f t="shared" si="37"/>
        <v>0</v>
      </c>
      <c r="J524" s="89">
        <f t="shared" si="37"/>
        <v>0</v>
      </c>
      <c r="K524" s="89">
        <f t="shared" si="37"/>
        <v>2.11</v>
      </c>
      <c r="L524" s="89">
        <f t="shared" si="37"/>
        <v>4962.1099999999997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13717.5</v>
      </c>
      <c r="I531" s="18"/>
      <c r="J531" s="18"/>
      <c r="K531" s="18"/>
      <c r="L531" s="88">
        <f>SUM(F531:K531)</f>
        <v>13717.5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13717.5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13717.5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58859.64</v>
      </c>
      <c r="G535" s="89">
        <f t="shared" ref="G535:L535" si="40">G514+G519+G524+G529+G534</f>
        <v>25138.059999999998</v>
      </c>
      <c r="H535" s="89">
        <f t="shared" si="40"/>
        <v>404357.31000000006</v>
      </c>
      <c r="I535" s="89">
        <f t="shared" si="40"/>
        <v>753.12</v>
      </c>
      <c r="J535" s="89">
        <f t="shared" si="40"/>
        <v>983</v>
      </c>
      <c r="K535" s="89">
        <f t="shared" si="40"/>
        <v>2.11</v>
      </c>
      <c r="L535" s="89">
        <f t="shared" si="40"/>
        <v>490093.24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186075.34</v>
      </c>
      <c r="G539" s="87">
        <f>L516</f>
        <v>44653.03</v>
      </c>
      <c r="H539" s="87">
        <f>L521</f>
        <v>4962.1099999999997</v>
      </c>
      <c r="I539" s="87">
        <f>L526</f>
        <v>0</v>
      </c>
      <c r="J539" s="87">
        <f>L531</f>
        <v>13717.5</v>
      </c>
      <c r="K539" s="87">
        <f>SUM(F539:J539)</f>
        <v>249407.97999999998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75301.259999999995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75301.259999999995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165384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165384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426760.6</v>
      </c>
      <c r="G542" s="89">
        <f t="shared" si="41"/>
        <v>44653.03</v>
      </c>
      <c r="H542" s="89">
        <f t="shared" si="41"/>
        <v>4962.1099999999997</v>
      </c>
      <c r="I542" s="89">
        <f t="shared" si="41"/>
        <v>0</v>
      </c>
      <c r="J542" s="89">
        <f t="shared" si="41"/>
        <v>13717.5</v>
      </c>
      <c r="K542" s="89">
        <f t="shared" si="41"/>
        <v>490093.24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81555.77</v>
      </c>
      <c r="H565" s="18">
        <v>198980</v>
      </c>
      <c r="I565" s="87">
        <f>SUM(F565:H565)</f>
        <v>280535.77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97328.52+1375</f>
        <v>98703.52</v>
      </c>
      <c r="G569" s="18">
        <v>75301.259999999995</v>
      </c>
      <c r="H569" s="18">
        <v>165384</v>
      </c>
      <c r="I569" s="87">
        <f t="shared" si="46"/>
        <v>339388.78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33861.29</v>
      </c>
      <c r="I581" s="18">
        <v>8895.15</v>
      </c>
      <c r="J581" s="18">
        <v>17790.3</v>
      </c>
      <c r="K581" s="104">
        <f t="shared" ref="K581:K587" si="47">SUM(H581:J581)</f>
        <v>60546.740000000005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13717.5</v>
      </c>
      <c r="I582" s="18"/>
      <c r="J582" s="18"/>
      <c r="K582" s="104">
        <f t="shared" si="47"/>
        <v>13717.5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100</v>
      </c>
      <c r="I585" s="18"/>
      <c r="J585" s="18"/>
      <c r="K585" s="104">
        <f t="shared" si="47"/>
        <v>100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47678.79</v>
      </c>
      <c r="I588" s="108">
        <f>SUM(I581:I587)</f>
        <v>8895.15</v>
      </c>
      <c r="J588" s="108">
        <f>SUM(J581:J587)</f>
        <v>17790.3</v>
      </c>
      <c r="K588" s="108">
        <f>SUM(K581:K587)</f>
        <v>74364.240000000005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3662.25</v>
      </c>
      <c r="I594" s="18"/>
      <c r="J594" s="18"/>
      <c r="K594" s="104">
        <f>SUM(H594:J594)</f>
        <v>3662.25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3662.25</v>
      </c>
      <c r="I595" s="108">
        <f>SUM(I592:I594)</f>
        <v>0</v>
      </c>
      <c r="J595" s="108">
        <f>SUM(J592:J594)</f>
        <v>0</v>
      </c>
      <c r="K595" s="108">
        <f>SUM(K592:K594)</f>
        <v>3662.25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1920</v>
      </c>
      <c r="G601" s="18">
        <f>146.88+6.14</f>
        <v>153.01999999999998</v>
      </c>
      <c r="H601" s="18"/>
      <c r="I601" s="18"/>
      <c r="J601" s="18"/>
      <c r="K601" s="18"/>
      <c r="L601" s="88">
        <f>SUM(F601:K601)</f>
        <v>2073.02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1920</v>
      </c>
      <c r="G604" s="108">
        <f t="shared" si="48"/>
        <v>153.01999999999998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2073.02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65335.799999999996</v>
      </c>
      <c r="H607" s="109">
        <f>SUM(F44)</f>
        <v>65335.8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3041.21</v>
      </c>
      <c r="H609" s="109">
        <f>SUM(H44)</f>
        <v>3041.21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321222.53000000003</v>
      </c>
      <c r="H611" s="109">
        <f>SUM(J44)</f>
        <v>321222.53000000003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51038.86</v>
      </c>
      <c r="H612" s="109">
        <f>F466</f>
        <v>51038.860000000102</v>
      </c>
      <c r="I612" s="121" t="s">
        <v>106</v>
      </c>
      <c r="J612" s="109">
        <f t="shared" ref="J612:J645" si="49">G612-H612</f>
        <v>-1.0186340659856796E-10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321222.53000000003</v>
      </c>
      <c r="H616" s="109">
        <f>J466</f>
        <v>321222.53000000003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1414903.7699999998</v>
      </c>
      <c r="H617" s="104">
        <f>SUM(F458)</f>
        <v>1414903.77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8732.2900000000009</v>
      </c>
      <c r="H618" s="104">
        <f>SUM(G458)</f>
        <v>8732.2900000000009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12150.560000000001</v>
      </c>
      <c r="H619" s="104">
        <f>SUM(H458)</f>
        <v>12150.56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1993.3899999999999</v>
      </c>
      <c r="H621" s="104">
        <f>SUM(J458)</f>
        <v>1993.3899999999999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1384176.7600000002</v>
      </c>
      <c r="H622" s="104">
        <f>SUM(F462)</f>
        <v>1384176.76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12150.56</v>
      </c>
      <c r="H623" s="104">
        <f>SUM(H462)</f>
        <v>12150.56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461.13</v>
      </c>
      <c r="H624" s="104">
        <f>I361</f>
        <v>461.13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8732.2899999999991</v>
      </c>
      <c r="H625" s="104">
        <f>SUM(G462)</f>
        <v>8732.2900000000009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1993.3899999999999</v>
      </c>
      <c r="H627" s="164">
        <f>SUM(J458)</f>
        <v>1993.3899999999999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16331</v>
      </c>
      <c r="H628" s="164">
        <f>SUM(J462)</f>
        <v>16331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81508.929999999993</v>
      </c>
      <c r="H629" s="104">
        <f>SUM(F451)</f>
        <v>81508.929999999993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239713.6</v>
      </c>
      <c r="H630" s="104">
        <f>SUM(G451)</f>
        <v>239713.6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321222.53000000003</v>
      </c>
      <c r="H632" s="104">
        <f>SUM(I451)</f>
        <v>321222.53000000003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1993.3899999999999</v>
      </c>
      <c r="H634" s="104">
        <f>H400</f>
        <v>1993.3899999999999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1993.3899999999999</v>
      </c>
      <c r="H636" s="104">
        <f>L400</f>
        <v>1993.3899999999999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74364.240000000005</v>
      </c>
      <c r="H637" s="104">
        <f>L200+L218+L236</f>
        <v>74364.240000000005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3662.25</v>
      </c>
      <c r="H638" s="104">
        <f>(J249+J330)-(J247+J328)</f>
        <v>3662.25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47678.79</v>
      </c>
      <c r="H639" s="104">
        <f>H588</f>
        <v>47678.79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8895.15</v>
      </c>
      <c r="H640" s="104">
        <f>I588</f>
        <v>8895.15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17790.3</v>
      </c>
      <c r="H641" s="104">
        <f>J588</f>
        <v>17790.3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8732.2900000000009</v>
      </c>
      <c r="H642" s="104">
        <f>K255+K337</f>
        <v>8732.2900000000009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847420.84000000032</v>
      </c>
      <c r="G650" s="19">
        <f>(L221+L301+L351)</f>
        <v>165752.18</v>
      </c>
      <c r="H650" s="19">
        <f>(L239+L320+L352)</f>
        <v>382154.3</v>
      </c>
      <c r="I650" s="19">
        <f>SUM(F650:H650)</f>
        <v>1395327.3200000003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47678.79</v>
      </c>
      <c r="G652" s="19">
        <f>(L218+L298)-(J218+J298)</f>
        <v>8895.15</v>
      </c>
      <c r="H652" s="19">
        <f>(L236+L317)-(J236+J317)</f>
        <v>17790.3</v>
      </c>
      <c r="I652" s="19">
        <f>SUM(F652:H652)</f>
        <v>74364.240000000005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104438.79000000001</v>
      </c>
      <c r="G653" s="200">
        <f>SUM(G565:G577)+SUM(I592:I594)+L602</f>
        <v>156857.03</v>
      </c>
      <c r="H653" s="200">
        <f>SUM(H565:H577)+SUM(J592:J594)+L603</f>
        <v>364364</v>
      </c>
      <c r="I653" s="19">
        <f>SUM(F653:H653)</f>
        <v>625659.82000000007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695303.26000000024</v>
      </c>
      <c r="G654" s="19">
        <f>G650-SUM(G651:G653)</f>
        <v>0</v>
      </c>
      <c r="H654" s="19">
        <f>H650-SUM(H651:H653)</f>
        <v>0</v>
      </c>
      <c r="I654" s="19">
        <f>I650-SUM(I651:I653)</f>
        <v>695303.26000000024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37.31</v>
      </c>
      <c r="G655" s="249"/>
      <c r="H655" s="249"/>
      <c r="I655" s="19">
        <f>SUM(F655:H655)</f>
        <v>37.31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18635.84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18635.84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18635.84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18635.84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CC26-7C46-4019-8B14-3203102F0781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Marlow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180863.64</v>
      </c>
      <c r="C9" s="230">
        <f>'DOE25'!G189+'DOE25'!G207+'DOE25'!G225+'DOE25'!G268+'DOE25'!G287+'DOE25'!G306</f>
        <v>82051.929999999993</v>
      </c>
    </row>
    <row r="10" spans="1:3" x14ac:dyDescent="0.2">
      <c r="A10" t="s">
        <v>813</v>
      </c>
      <c r="B10" s="241">
        <v>180863.64</v>
      </c>
      <c r="C10" s="241">
        <v>82051.929999999993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180863.64</v>
      </c>
      <c r="C13" s="232">
        <f>SUM(C10:C12)</f>
        <v>82051.929999999993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58859.64</v>
      </c>
      <c r="C18" s="230">
        <f>'DOE25'!G190+'DOE25'!G208+'DOE25'!G226+'DOE25'!G269+'DOE25'!G288+'DOE25'!G307</f>
        <v>25138.06</v>
      </c>
    </row>
    <row r="19" spans="1:3" x14ac:dyDescent="0.2">
      <c r="A19" t="s">
        <v>813</v>
      </c>
      <c r="B19" s="241">
        <v>33479.94</v>
      </c>
      <c r="C19" s="241">
        <v>14298.77</v>
      </c>
    </row>
    <row r="20" spans="1:3" x14ac:dyDescent="0.2">
      <c r="A20" t="s">
        <v>814</v>
      </c>
      <c r="B20" s="241">
        <v>25379.7</v>
      </c>
      <c r="C20" s="241">
        <v>10839.29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58859.64</v>
      </c>
      <c r="C22" s="232">
        <f>SUM(C19:C21)</f>
        <v>25138.06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1920</v>
      </c>
      <c r="C36" s="236">
        <f>'DOE25'!G192+'DOE25'!G210+'DOE25'!G228+'DOE25'!G271+'DOE25'!G290+'DOE25'!G309</f>
        <v>153.02000000000001</v>
      </c>
    </row>
    <row r="37" spans="1:3" x14ac:dyDescent="0.2">
      <c r="A37" t="s">
        <v>813</v>
      </c>
      <c r="B37" s="241">
        <v>1920</v>
      </c>
      <c r="C37" s="241">
        <v>153.02000000000001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1920</v>
      </c>
      <c r="C40" s="232">
        <f>SUM(C37:C39)</f>
        <v>153.02000000000001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2212-38D0-4913-AC09-20B662A169FC}">
  <sheetPr>
    <tabColor indexed="11"/>
  </sheetPr>
  <dimension ref="A1:I51"/>
  <sheetViews>
    <sheetView workbookViewId="0">
      <pane ySplit="4" topLeftCell="A5" activePane="bottomLeft" state="frozen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Marlow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986293.08000000007</v>
      </c>
      <c r="D5" s="20">
        <f>SUM('DOE25'!L189:L192)+SUM('DOE25'!L207:L210)+SUM('DOE25'!L225:L228)-F5-G5</f>
        <v>986293.08000000007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61336.18</v>
      </c>
      <c r="D6" s="20">
        <f>'DOE25'!L194+'DOE25'!L212+'DOE25'!L230-F6-G6</f>
        <v>61336.18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12225.560000000001</v>
      </c>
      <c r="D7" s="20">
        <f>'DOE25'!L195+'DOE25'!L213+'DOE25'!L231-F7-G7</f>
        <v>12225.560000000001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49272.09</v>
      </c>
      <c r="D8" s="244"/>
      <c r="E8" s="20">
        <f>'DOE25'!L196+'DOE25'!L214+'DOE25'!L232-F8-G8-D9-D11</f>
        <v>49272.09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852</v>
      </c>
      <c r="C9" s="246">
        <f t="shared" si="0"/>
        <v>3410.33</v>
      </c>
      <c r="D9" s="245">
        <v>3410.33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5000</v>
      </c>
      <c r="D10" s="244"/>
      <c r="E10" s="245">
        <v>5000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14482</v>
      </c>
      <c r="D11" s="245">
        <v>14482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114890.9</v>
      </c>
      <c r="D12" s="20">
        <f>'DOE25'!L197+'DOE25'!L215+'DOE25'!L233-F12-G12</f>
        <v>114890.9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57614.849999999991</v>
      </c>
      <c r="D14" s="20">
        <f>'DOE25'!L199+'DOE25'!L217+'DOE25'!L235-F14-G14</f>
        <v>56942.219999999994</v>
      </c>
      <c r="E14" s="244"/>
      <c r="F14" s="256">
        <f>'DOE25'!J199+'DOE25'!J217+'DOE25'!J235</f>
        <v>672.63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74364.240000000005</v>
      </c>
      <c r="D15" s="20">
        <f>'DOE25'!L200+'DOE25'!L218+'DOE25'!L236-F15-G15</f>
        <v>74364.240000000005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555.24</v>
      </c>
      <c r="D16" s="244"/>
      <c r="E16" s="20">
        <f>'DOE25'!L201+'DOE25'!L219+'DOE25'!L237-F16-G16</f>
        <v>555.24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1000</v>
      </c>
      <c r="D19" s="20">
        <f>'DOE25'!L245-F19-G19</f>
        <v>0</v>
      </c>
      <c r="E19" s="244"/>
      <c r="F19" s="256">
        <f>'DOE25'!J245</f>
        <v>0</v>
      </c>
      <c r="G19" s="53">
        <f>'DOE25'!K245</f>
        <v>1000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8732.2899999999991</v>
      </c>
      <c r="D29" s="20">
        <f>'DOE25'!L350+'DOE25'!L351+'DOE25'!L352-'DOE25'!I359-F29-G29</f>
        <v>8732.2899999999991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12150.56</v>
      </c>
      <c r="D31" s="20">
        <f>'DOE25'!L282+'DOE25'!L301+'DOE25'!L320+'DOE25'!L325+'DOE25'!L326+'DOE25'!L327-F31-G31</f>
        <v>8997.6299999999992</v>
      </c>
      <c r="E31" s="244"/>
      <c r="F31" s="256">
        <f>'DOE25'!J282+'DOE25'!J301+'DOE25'!J320+'DOE25'!J325+'DOE25'!J326+'DOE25'!J327</f>
        <v>2989.62</v>
      </c>
      <c r="G31" s="53">
        <f>'DOE25'!K282+'DOE25'!K301+'DOE25'!K320+'DOE25'!K325+'DOE25'!K326+'DOE25'!K327</f>
        <v>163.31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1341674.43</v>
      </c>
      <c r="E33" s="247">
        <f>SUM(E5:E31)</f>
        <v>54827.329999999994</v>
      </c>
      <c r="F33" s="247">
        <f>SUM(F5:F31)</f>
        <v>3662.25</v>
      </c>
      <c r="G33" s="247">
        <f>SUM(G5:G31)</f>
        <v>1163.31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54827.329999999994</v>
      </c>
      <c r="E35" s="250"/>
    </row>
    <row r="36" spans="2:8" ht="12" thickTop="1" x14ac:dyDescent="0.2">
      <c r="B36" t="s">
        <v>849</v>
      </c>
      <c r="D36" s="20">
        <f>D33</f>
        <v>1341674.43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E8F3-1D82-4744-A135-8C556110C378}">
  <sheetPr transitionEvaluation="1" codeName="Sheet2">
    <tabColor indexed="10"/>
  </sheetPr>
  <dimension ref="A1:I156"/>
  <sheetViews>
    <sheetView zoomScale="75" workbookViewId="0">
      <pane ySplit="2" topLeftCell="A11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Marlow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61824.539999999994</v>
      </c>
      <c r="D9" s="95">
        <f>'DOE25'!G9</f>
        <v>0</v>
      </c>
      <c r="E9" s="95">
        <f>'DOE25'!H9</f>
        <v>932.15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321222.53000000003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3511.26</v>
      </c>
      <c r="D13" s="95">
        <f>'DOE25'!G13</f>
        <v>0</v>
      </c>
      <c r="E13" s="95">
        <f>'DOE25'!H13</f>
        <v>2109.06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65335.799999999996</v>
      </c>
      <c r="D19" s="41">
        <f>SUM(D9:D18)</f>
        <v>0</v>
      </c>
      <c r="E19" s="41">
        <f>SUM(E9:E18)</f>
        <v>3041.21</v>
      </c>
      <c r="F19" s="41">
        <f>SUM(F9:F18)</f>
        <v>0</v>
      </c>
      <c r="G19" s="41">
        <f>SUM(G9:G18)</f>
        <v>321222.53000000003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8362.89</v>
      </c>
      <c r="D23" s="95">
        <f>'DOE25'!G24</f>
        <v>0</v>
      </c>
      <c r="E23" s="95">
        <f>'DOE25'!H24</f>
        <v>2945.14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3697.53</v>
      </c>
      <c r="D24" s="95">
        <f>'DOE25'!G25</f>
        <v>0</v>
      </c>
      <c r="E24" s="95">
        <f>'DOE25'!H25</f>
        <v>96.07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2236.52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14296.94</v>
      </c>
      <c r="D32" s="41">
        <f>SUM(D22:D31)</f>
        <v>0</v>
      </c>
      <c r="E32" s="41">
        <f>SUM(E22:E31)</f>
        <v>3041.21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6413.08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321222.53000000003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44625.78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51038.86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321222.53000000003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65335.8</v>
      </c>
      <c r="D43" s="41">
        <f>D42+D32</f>
        <v>0</v>
      </c>
      <c r="E43" s="41">
        <f>E42+E32</f>
        <v>3041.21</v>
      </c>
      <c r="F43" s="41">
        <f>F42+F32</f>
        <v>0</v>
      </c>
      <c r="G43" s="41">
        <f>G42+G32</f>
        <v>321222.53000000003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605479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1441.36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1993.3899999999999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4356.71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5798.07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1993.3899999999999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611277.06999999995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1993.3899999999999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425683.48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159781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163321.51999999999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748786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17416.560000000001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17416.560000000001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766202.56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8351.5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21093.14</v>
      </c>
      <c r="D80" s="95">
        <f>SUM('DOE25'!G145:G153)</f>
        <v>0</v>
      </c>
      <c r="E80" s="95">
        <f>SUM('DOE25'!H145:H153)</f>
        <v>3799.0599999999995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21093.14</v>
      </c>
      <c r="D83" s="131">
        <f>SUM(D77:D82)</f>
        <v>0</v>
      </c>
      <c r="E83" s="131">
        <f>SUM(E77:E82)</f>
        <v>12150.56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8732.2900000000009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16331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16331</v>
      </c>
      <c r="D95" s="86">
        <f>SUM(D85:D94)</f>
        <v>8732.2900000000009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1414903.7699999998</v>
      </c>
      <c r="D96" s="86">
        <f>D55+D73+D83+D95</f>
        <v>8732.2900000000009</v>
      </c>
      <c r="E96" s="86">
        <f>E55+E73+E83+E95</f>
        <v>12150.56</v>
      </c>
      <c r="F96" s="86">
        <f>F55+F73+F83+F95</f>
        <v>0</v>
      </c>
      <c r="G96" s="86">
        <f>G55+G73+G95</f>
        <v>1993.3899999999999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558495.21</v>
      </c>
      <c r="D101" s="24" t="s">
        <v>312</v>
      </c>
      <c r="E101" s="95">
        <f>('DOE25'!L268)+('DOE25'!L287)+('DOE25'!L306)</f>
        <v>8351.5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425724.85</v>
      </c>
      <c r="D102" s="24" t="s">
        <v>312</v>
      </c>
      <c r="E102" s="95">
        <f>('DOE25'!L269)+('DOE25'!L288)+('DOE25'!L307)</f>
        <v>1035.75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2073.02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1000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987293.08</v>
      </c>
      <c r="D107" s="86">
        <f>SUM(D101:D106)</f>
        <v>0</v>
      </c>
      <c r="E107" s="86">
        <f>SUM(E101:E106)</f>
        <v>9387.25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61336.18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12225.560000000001</v>
      </c>
      <c r="D111" s="24" t="s">
        <v>312</v>
      </c>
      <c r="E111" s="95">
        <f>+('DOE25'!L274)+('DOE25'!L293)+('DOE25'!L312)</f>
        <v>2600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67164.42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114890.9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163.31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57614.849999999991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74364.240000000005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555.24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8732.2899999999991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388151.38999999996</v>
      </c>
      <c r="D120" s="86">
        <f>SUM(D110:D119)</f>
        <v>8732.2899999999991</v>
      </c>
      <c r="E120" s="86">
        <f>SUM(E110:E119)</f>
        <v>2763.31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16331</v>
      </c>
    </row>
    <row r="127" spans="1:7" x14ac:dyDescent="0.2">
      <c r="A127" t="s">
        <v>256</v>
      </c>
      <c r="B127" s="32" t="s">
        <v>257</v>
      </c>
      <c r="C127" s="95">
        <f>'DOE25'!L255</f>
        <v>8732.2900000000009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486.07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1507.32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-1993.3899999999999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8732.2900000000009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16331</v>
      </c>
    </row>
    <row r="137" spans="1:9" ht="12.75" thickTop="1" thickBot="1" x14ac:dyDescent="0.25">
      <c r="A137" s="33" t="s">
        <v>267</v>
      </c>
      <c r="C137" s="86">
        <f>(C107+C120+C136)</f>
        <v>1384176.76</v>
      </c>
      <c r="D137" s="86">
        <f>(D107+D120+D136)</f>
        <v>8732.2899999999991</v>
      </c>
      <c r="E137" s="86">
        <f>(E107+E120+E136)</f>
        <v>12150.56</v>
      </c>
      <c r="F137" s="86">
        <f>(F107+F120+F136)</f>
        <v>0</v>
      </c>
      <c r="G137" s="86">
        <f>(G107+G120+G136)</f>
        <v>16331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2633-9537-4D3C-AEA6-1FB0F6D34733}">
  <sheetPr codeName="Sheet3">
    <tabColor indexed="43"/>
  </sheetPr>
  <dimension ref="A1:D42"/>
  <sheetViews>
    <sheetView workbookViewId="0">
      <selection activeCell="E48" sqref="E4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Marlow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18636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18636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566847</v>
      </c>
      <c r="D10" s="182">
        <f>ROUND((C10/$C$28)*100,1)</f>
        <v>40.6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426761</v>
      </c>
      <c r="D11" s="182">
        <f>ROUND((C11/$C$28)*100,1)</f>
        <v>30.6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2073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61336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14826</v>
      </c>
      <c r="D16" s="182">
        <f t="shared" si="0"/>
        <v>1.1000000000000001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67720</v>
      </c>
      <c r="D17" s="182">
        <f t="shared" si="0"/>
        <v>4.8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114891</v>
      </c>
      <c r="D18" s="182">
        <f t="shared" si="0"/>
        <v>8.1999999999999993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163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57615</v>
      </c>
      <c r="D20" s="182">
        <f t="shared" si="0"/>
        <v>4.0999999999999996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74364</v>
      </c>
      <c r="D21" s="182">
        <f t="shared" si="0"/>
        <v>5.3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1000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8732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1396328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1396328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605479</v>
      </c>
      <c r="D35" s="182">
        <f t="shared" ref="D35:D40" si="1">ROUND((C35/$C$41)*100,1)</f>
        <v>42.9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7791.4599999999627</v>
      </c>
      <c r="D36" s="182">
        <f t="shared" si="1"/>
        <v>0.6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585464</v>
      </c>
      <c r="D37" s="182">
        <f t="shared" si="1"/>
        <v>41.4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180738</v>
      </c>
      <c r="D38" s="182">
        <f t="shared" si="1"/>
        <v>12.8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33244</v>
      </c>
      <c r="D39" s="182">
        <f t="shared" si="1"/>
        <v>2.4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1412716.46</v>
      </c>
      <c r="D41" s="184">
        <f>SUM(D35:D40)</f>
        <v>100.10000000000001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DAAE-3F88-4349-AF39-FCEC5587C0B7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Marlow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2010-10-06T11:57:28Z</cp:lastPrinted>
  <dcterms:created xsi:type="dcterms:W3CDTF">1997-12-04T19:04:30Z</dcterms:created>
  <dcterms:modified xsi:type="dcterms:W3CDTF">2025-01-02T14:48:45Z</dcterms:modified>
</cp:coreProperties>
</file>