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A9670B1E-FA29-4B5E-990A-19244716B420}" xr6:coauthVersionLast="47" xr6:coauthVersionMax="47" xr10:uidLastSave="{00000000-0000-0000-0000-000000000000}"/>
  <workbookProtection workbookPassword="B70A" lockStructure="1"/>
  <bookViews>
    <workbookView xWindow="2685" yWindow="2685" windowWidth="21600" windowHeight="11505" tabRatio="855" xr2:uid="{B62D9E3D-7B4F-4036-BAD5-DF81D1B2132B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9" i="1" l="1"/>
  <c r="H41" i="1"/>
  <c r="E40" i="2" s="1"/>
  <c r="H594" i="1"/>
  <c r="F463" i="1"/>
  <c r="J463" i="1"/>
  <c r="G459" i="1"/>
  <c r="J370" i="1"/>
  <c r="J374" i="1" s="1"/>
  <c r="G41" i="1"/>
  <c r="K336" i="1"/>
  <c r="H147" i="1"/>
  <c r="H146" i="1"/>
  <c r="H154" i="1" s="1"/>
  <c r="H161" i="1" s="1"/>
  <c r="I196" i="1"/>
  <c r="I197" i="1"/>
  <c r="H196" i="1"/>
  <c r="H197" i="1"/>
  <c r="J232" i="1"/>
  <c r="I232" i="1"/>
  <c r="I239" i="1" s="1"/>
  <c r="H232" i="1"/>
  <c r="J214" i="1"/>
  <c r="J221" i="1" s="1"/>
  <c r="I214" i="1"/>
  <c r="H214" i="1"/>
  <c r="J196" i="1"/>
  <c r="H237" i="1"/>
  <c r="L237" i="1" s="1"/>
  <c r="J235" i="1"/>
  <c r="F14" i="13" s="1"/>
  <c r="I235" i="1"/>
  <c r="H235" i="1"/>
  <c r="G235" i="1"/>
  <c r="I233" i="1"/>
  <c r="H233" i="1"/>
  <c r="L233" i="1" s="1"/>
  <c r="K232" i="1"/>
  <c r="K239" i="1" s="1"/>
  <c r="H231" i="1"/>
  <c r="L231" i="1" s="1"/>
  <c r="G231" i="1"/>
  <c r="I230" i="1"/>
  <c r="H230" i="1"/>
  <c r="H228" i="1"/>
  <c r="L228" i="1" s="1"/>
  <c r="C13" i="10" s="1"/>
  <c r="H227" i="1"/>
  <c r="H239" i="1" s="1"/>
  <c r="H226" i="1"/>
  <c r="H225" i="1"/>
  <c r="L225" i="1" s="1"/>
  <c r="H219" i="1"/>
  <c r="I217" i="1"/>
  <c r="H217" i="1"/>
  <c r="H215" i="1"/>
  <c r="K214" i="1"/>
  <c r="K221" i="1" s="1"/>
  <c r="I212" i="1"/>
  <c r="H208" i="1"/>
  <c r="J207" i="1"/>
  <c r="I207" i="1"/>
  <c r="I221" i="1" s="1"/>
  <c r="H207" i="1"/>
  <c r="H221" i="1" s="1"/>
  <c r="H249" i="1" s="1"/>
  <c r="H263" i="1" s="1"/>
  <c r="H201" i="1"/>
  <c r="I199" i="1"/>
  <c r="H199" i="1"/>
  <c r="J198" i="1"/>
  <c r="K196" i="1"/>
  <c r="K203" i="1" s="1"/>
  <c r="I195" i="1"/>
  <c r="I203" i="1" s="1"/>
  <c r="H195" i="1"/>
  <c r="L195" i="1" s="1"/>
  <c r="I194" i="1"/>
  <c r="H189" i="1"/>
  <c r="L408" i="1"/>
  <c r="K406" i="1"/>
  <c r="K411" i="1" s="1"/>
  <c r="K426" i="1" s="1"/>
  <c r="G126" i="2" s="1"/>
  <c r="G136" i="2" s="1"/>
  <c r="F572" i="1"/>
  <c r="I572" i="1" s="1"/>
  <c r="F570" i="1"/>
  <c r="F569" i="1"/>
  <c r="F653" i="1" s="1"/>
  <c r="D9" i="13"/>
  <c r="J523" i="1"/>
  <c r="J522" i="1"/>
  <c r="J521" i="1"/>
  <c r="J524" i="1" s="1"/>
  <c r="H523" i="1"/>
  <c r="L523" i="1" s="1"/>
  <c r="H541" i="1" s="1"/>
  <c r="H522" i="1"/>
  <c r="H521" i="1"/>
  <c r="H518" i="1"/>
  <c r="H517" i="1"/>
  <c r="H516" i="1"/>
  <c r="H519" i="1" s="1"/>
  <c r="H535" i="1" s="1"/>
  <c r="H512" i="1"/>
  <c r="I512" i="1"/>
  <c r="I511" i="1"/>
  <c r="H513" i="1"/>
  <c r="I287" i="1"/>
  <c r="I268" i="1"/>
  <c r="I282" i="1" s="1"/>
  <c r="I330" i="1" s="1"/>
  <c r="I344" i="1" s="1"/>
  <c r="H298" i="1"/>
  <c r="L298" i="1" s="1"/>
  <c r="H279" i="1"/>
  <c r="J217" i="1"/>
  <c r="H198" i="1"/>
  <c r="H216" i="1"/>
  <c r="L216" i="1" s="1"/>
  <c r="H234" i="1"/>
  <c r="L234" i="1" s="1"/>
  <c r="I518" i="1"/>
  <c r="I517" i="1"/>
  <c r="I516" i="1"/>
  <c r="H511" i="1"/>
  <c r="I513" i="1"/>
  <c r="I514" i="1" s="1"/>
  <c r="I535" i="1" s="1"/>
  <c r="H292" i="1"/>
  <c r="L292" i="1" s="1"/>
  <c r="F287" i="1"/>
  <c r="L287" i="1" s="1"/>
  <c r="L301" i="1" s="1"/>
  <c r="I292" i="1"/>
  <c r="H294" i="1"/>
  <c r="I269" i="1"/>
  <c r="F235" i="1"/>
  <c r="F239" i="1" s="1"/>
  <c r="H212" i="1"/>
  <c r="L212" i="1" s="1"/>
  <c r="F212" i="1"/>
  <c r="I198" i="1"/>
  <c r="L198" i="1" s="1"/>
  <c r="J201" i="1"/>
  <c r="L201" i="1" s="1"/>
  <c r="J199" i="1"/>
  <c r="J194" i="1"/>
  <c r="F6" i="13" s="1"/>
  <c r="G199" i="1"/>
  <c r="L199" i="1" s="1"/>
  <c r="G196" i="1"/>
  <c r="G195" i="1"/>
  <c r="G194" i="1"/>
  <c r="F199" i="1"/>
  <c r="F196" i="1"/>
  <c r="L196" i="1" s="1"/>
  <c r="F194" i="1"/>
  <c r="F203" i="1" s="1"/>
  <c r="H582" i="1"/>
  <c r="F552" i="1"/>
  <c r="G553" i="1"/>
  <c r="G554" i="1"/>
  <c r="H533" i="1"/>
  <c r="H532" i="1"/>
  <c r="L532" i="1" s="1"/>
  <c r="J540" i="1" s="1"/>
  <c r="H531" i="1"/>
  <c r="L531" i="1" s="1"/>
  <c r="G518" i="1"/>
  <c r="F518" i="1"/>
  <c r="G517" i="1"/>
  <c r="F517" i="1"/>
  <c r="L517" i="1" s="1"/>
  <c r="G540" i="1" s="1"/>
  <c r="G516" i="1"/>
  <c r="L516" i="1" s="1"/>
  <c r="F516" i="1"/>
  <c r="J516" i="1"/>
  <c r="G512" i="1"/>
  <c r="J513" i="1"/>
  <c r="J514" i="1" s="1"/>
  <c r="J535" i="1" s="1"/>
  <c r="F513" i="1"/>
  <c r="L513" i="1" s="1"/>
  <c r="F541" i="1" s="1"/>
  <c r="G513" i="1"/>
  <c r="F512" i="1"/>
  <c r="J512" i="1"/>
  <c r="J511" i="1"/>
  <c r="G511" i="1"/>
  <c r="F511" i="1"/>
  <c r="F514" i="1" s="1"/>
  <c r="F535" i="1" s="1"/>
  <c r="I273" i="1"/>
  <c r="I293" i="1"/>
  <c r="H293" i="1"/>
  <c r="L293" i="1" s="1"/>
  <c r="E111" i="2" s="1"/>
  <c r="G287" i="1"/>
  <c r="G301" i="1" s="1"/>
  <c r="G330" i="1" s="1"/>
  <c r="G344" i="1" s="1"/>
  <c r="H275" i="1"/>
  <c r="G274" i="1"/>
  <c r="G268" i="1"/>
  <c r="F268" i="1"/>
  <c r="B9" i="12" s="1"/>
  <c r="A13" i="12" s="1"/>
  <c r="L268" i="1"/>
  <c r="H273" i="1"/>
  <c r="L273" i="1" s="1"/>
  <c r="G232" i="1"/>
  <c r="F232" i="1"/>
  <c r="J230" i="1"/>
  <c r="J239" i="1" s="1"/>
  <c r="G230" i="1"/>
  <c r="L230" i="1"/>
  <c r="F230" i="1"/>
  <c r="G217" i="1"/>
  <c r="F217" i="1"/>
  <c r="I215" i="1"/>
  <c r="G214" i="1"/>
  <c r="F214" i="1"/>
  <c r="L214" i="1" s="1"/>
  <c r="G213" i="1"/>
  <c r="J212" i="1"/>
  <c r="G212" i="1"/>
  <c r="L200" i="1"/>
  <c r="D15" i="13" s="1"/>
  <c r="C15" i="13" s="1"/>
  <c r="G203" i="1"/>
  <c r="L232" i="1"/>
  <c r="E80" i="2"/>
  <c r="G14" i="1"/>
  <c r="G19" i="1" s="1"/>
  <c r="G608" i="1" s="1"/>
  <c r="C60" i="2"/>
  <c r="B2" i="13"/>
  <c r="D39" i="13"/>
  <c r="F13" i="13"/>
  <c r="G13" i="13"/>
  <c r="F16" i="13"/>
  <c r="G16" i="13"/>
  <c r="L219" i="1"/>
  <c r="F5" i="13"/>
  <c r="G5" i="13"/>
  <c r="L189" i="1"/>
  <c r="L190" i="1"/>
  <c r="C102" i="2" s="1"/>
  <c r="L191" i="1"/>
  <c r="L192" i="1"/>
  <c r="L208" i="1"/>
  <c r="C11" i="10" s="1"/>
  <c r="L209" i="1"/>
  <c r="L210" i="1"/>
  <c r="L226" i="1"/>
  <c r="G6" i="13"/>
  <c r="F7" i="13"/>
  <c r="G7" i="13"/>
  <c r="L213" i="1"/>
  <c r="F12" i="13"/>
  <c r="G12" i="13"/>
  <c r="L197" i="1"/>
  <c r="C18" i="10" s="1"/>
  <c r="L215" i="1"/>
  <c r="G14" i="13"/>
  <c r="F15" i="13"/>
  <c r="G15" i="13"/>
  <c r="L218" i="1"/>
  <c r="G640" i="1" s="1"/>
  <c r="J640" i="1" s="1"/>
  <c r="L236" i="1"/>
  <c r="H652" i="1"/>
  <c r="F17" i="13"/>
  <c r="F18" i="13"/>
  <c r="G18" i="13"/>
  <c r="L244" i="1"/>
  <c r="F19" i="13"/>
  <c r="G19" i="13"/>
  <c r="L245" i="1"/>
  <c r="D19" i="13" s="1"/>
  <c r="C19" i="13" s="1"/>
  <c r="F29" i="13"/>
  <c r="G29" i="13"/>
  <c r="L350" i="1"/>
  <c r="F651" i="1" s="1"/>
  <c r="L351" i="1"/>
  <c r="G651" i="1" s="1"/>
  <c r="L352" i="1"/>
  <c r="I359" i="1"/>
  <c r="I361" i="1" s="1"/>
  <c r="H624" i="1" s="1"/>
  <c r="J624" i="1" s="1"/>
  <c r="J282" i="1"/>
  <c r="F31" i="13" s="1"/>
  <c r="J301" i="1"/>
  <c r="J320" i="1"/>
  <c r="K282" i="1"/>
  <c r="G31" i="13" s="1"/>
  <c r="K301" i="1"/>
  <c r="K320" i="1"/>
  <c r="L269" i="1"/>
  <c r="E102" i="2" s="1"/>
  <c r="L270" i="1"/>
  <c r="L271" i="1"/>
  <c r="L274" i="1"/>
  <c r="L275" i="1"/>
  <c r="E112" i="2" s="1"/>
  <c r="L276" i="1"/>
  <c r="E113" i="2" s="1"/>
  <c r="L277" i="1"/>
  <c r="L278" i="1"/>
  <c r="L279" i="1"/>
  <c r="L280" i="1"/>
  <c r="E117" i="2" s="1"/>
  <c r="L288" i="1"/>
  <c r="L289" i="1"/>
  <c r="L290" i="1"/>
  <c r="E104" i="2" s="1"/>
  <c r="L294" i="1"/>
  <c r="L295" i="1"/>
  <c r="L296" i="1"/>
  <c r="E114" i="2" s="1"/>
  <c r="L297" i="1"/>
  <c r="L299" i="1"/>
  <c r="L306" i="1"/>
  <c r="L307" i="1"/>
  <c r="L308" i="1"/>
  <c r="L309" i="1"/>
  <c r="L311" i="1"/>
  <c r="L312" i="1"/>
  <c r="L313" i="1"/>
  <c r="L320" i="1" s="1"/>
  <c r="L314" i="1"/>
  <c r="L316" i="1"/>
  <c r="L317" i="1"/>
  <c r="L318" i="1"/>
  <c r="L325" i="1"/>
  <c r="E106" i="2" s="1"/>
  <c r="L326" i="1"/>
  <c r="L327" i="1"/>
  <c r="L252" i="1"/>
  <c r="H25" i="13" s="1"/>
  <c r="L253" i="1"/>
  <c r="L333" i="1"/>
  <c r="L334" i="1"/>
  <c r="E124" i="2" s="1"/>
  <c r="L247" i="1"/>
  <c r="C122" i="2" s="1"/>
  <c r="L328" i="1"/>
  <c r="C11" i="13"/>
  <c r="C10" i="13"/>
  <c r="C9" i="13"/>
  <c r="L353" i="1"/>
  <c r="B4" i="12"/>
  <c r="B36" i="12"/>
  <c r="C36" i="12"/>
  <c r="B40" i="12"/>
  <c r="C40" i="12"/>
  <c r="A40" i="12" s="1"/>
  <c r="B27" i="12"/>
  <c r="A31" i="12" s="1"/>
  <c r="C27" i="12"/>
  <c r="B31" i="12"/>
  <c r="C31" i="12"/>
  <c r="B13" i="12"/>
  <c r="C9" i="12"/>
  <c r="C13" i="12"/>
  <c r="B18" i="12"/>
  <c r="B22" i="12"/>
  <c r="C18" i="12"/>
  <c r="A22" i="12" s="1"/>
  <c r="C22" i="12"/>
  <c r="B1" i="12"/>
  <c r="L379" i="1"/>
  <c r="L380" i="1"/>
  <c r="L381" i="1"/>
  <c r="L385" i="1" s="1"/>
  <c r="L382" i="1"/>
  <c r="L383" i="1"/>
  <c r="L384" i="1"/>
  <c r="L387" i="1"/>
  <c r="L388" i="1"/>
  <c r="L389" i="1"/>
  <c r="L390" i="1"/>
  <c r="L393" i="1" s="1"/>
  <c r="C131" i="2" s="1"/>
  <c r="L391" i="1"/>
  <c r="L392" i="1"/>
  <c r="L395" i="1"/>
  <c r="L399" i="1" s="1"/>
  <c r="C132" i="2" s="1"/>
  <c r="L396" i="1"/>
  <c r="L397" i="1"/>
  <c r="L398" i="1"/>
  <c r="L258" i="1"/>
  <c r="J52" i="1"/>
  <c r="J104" i="1" s="1"/>
  <c r="J185" i="1" s="1"/>
  <c r="G48" i="2"/>
  <c r="G55" i="2" s="1"/>
  <c r="G96" i="2" s="1"/>
  <c r="G51" i="2"/>
  <c r="G53" i="2"/>
  <c r="F2" i="11"/>
  <c r="L603" i="1"/>
  <c r="H653" i="1"/>
  <c r="L602" i="1"/>
  <c r="G653" i="1" s="1"/>
  <c r="L601" i="1"/>
  <c r="C40" i="10"/>
  <c r="F52" i="1"/>
  <c r="C35" i="10" s="1"/>
  <c r="C48" i="2"/>
  <c r="C55" i="2" s="1"/>
  <c r="G52" i="1"/>
  <c r="H52" i="1"/>
  <c r="E48" i="2"/>
  <c r="I52" i="1"/>
  <c r="F48" i="2" s="1"/>
  <c r="F71" i="1"/>
  <c r="C49" i="2"/>
  <c r="F86" i="1"/>
  <c r="C50" i="2"/>
  <c r="F103" i="1"/>
  <c r="F104" i="1"/>
  <c r="G103" i="1"/>
  <c r="G104" i="1" s="1"/>
  <c r="H71" i="1"/>
  <c r="E49" i="2" s="1"/>
  <c r="E54" i="2" s="1"/>
  <c r="E55" i="2" s="1"/>
  <c r="E96" i="2" s="1"/>
  <c r="H86" i="1"/>
  <c r="H103" i="1"/>
  <c r="H104" i="1"/>
  <c r="I103" i="1"/>
  <c r="I104" i="1"/>
  <c r="J103" i="1"/>
  <c r="C37" i="10"/>
  <c r="F113" i="1"/>
  <c r="F132" i="1" s="1"/>
  <c r="F128" i="1"/>
  <c r="G113" i="1"/>
  <c r="G128" i="1"/>
  <c r="G132" i="1"/>
  <c r="H113" i="1"/>
  <c r="H132" i="1" s="1"/>
  <c r="H128" i="1"/>
  <c r="I113" i="1"/>
  <c r="I128" i="1"/>
  <c r="I132" i="1"/>
  <c r="J113" i="1"/>
  <c r="J132" i="1" s="1"/>
  <c r="J128" i="1"/>
  <c r="F139" i="1"/>
  <c r="F154" i="1"/>
  <c r="F161" i="1"/>
  <c r="G139" i="1"/>
  <c r="G161" i="1" s="1"/>
  <c r="G154" i="1"/>
  <c r="H139" i="1"/>
  <c r="I139" i="1"/>
  <c r="F77" i="2" s="1"/>
  <c r="F83" i="2" s="1"/>
  <c r="I154" i="1"/>
  <c r="L242" i="1"/>
  <c r="L324" i="1"/>
  <c r="E105" i="2" s="1"/>
  <c r="C23" i="10"/>
  <c r="L246" i="1"/>
  <c r="L260" i="1"/>
  <c r="L261" i="1"/>
  <c r="L341" i="1"/>
  <c r="E134" i="2" s="1"/>
  <c r="L342" i="1"/>
  <c r="E135" i="2" s="1"/>
  <c r="I655" i="1"/>
  <c r="I660" i="1"/>
  <c r="I659" i="1"/>
  <c r="C42" i="10"/>
  <c r="C32" i="10"/>
  <c r="L366" i="1"/>
  <c r="F122" i="2" s="1"/>
  <c r="F136" i="2" s="1"/>
  <c r="L367" i="1"/>
  <c r="L368" i="1"/>
  <c r="L369" i="1"/>
  <c r="L370" i="1"/>
  <c r="L371" i="1"/>
  <c r="L372" i="1"/>
  <c r="B2" i="10"/>
  <c r="L336" i="1"/>
  <c r="E126" i="2" s="1"/>
  <c r="L337" i="1"/>
  <c r="L338" i="1"/>
  <c r="L339" i="1"/>
  <c r="K343" i="1"/>
  <c r="L512" i="1"/>
  <c r="F540" i="1" s="1"/>
  <c r="L518" i="1"/>
  <c r="G541" i="1"/>
  <c r="L522" i="1"/>
  <c r="H540" i="1" s="1"/>
  <c r="L526" i="1"/>
  <c r="L529" i="1" s="1"/>
  <c r="I539" i="1"/>
  <c r="L528" i="1"/>
  <c r="I541" i="1"/>
  <c r="L533" i="1"/>
  <c r="J541" i="1" s="1"/>
  <c r="E123" i="2"/>
  <c r="K262" i="1"/>
  <c r="J262" i="1"/>
  <c r="I262" i="1"/>
  <c r="H262" i="1"/>
  <c r="G262" i="1"/>
  <c r="F262" i="1"/>
  <c r="C124" i="2"/>
  <c r="C123" i="2"/>
  <c r="A1" i="2"/>
  <c r="A2" i="2"/>
  <c r="C9" i="2"/>
  <c r="D9" i="2"/>
  <c r="E9" i="2"/>
  <c r="E19" i="2" s="1"/>
  <c r="F9" i="2"/>
  <c r="I431" i="1"/>
  <c r="I438" i="1" s="1"/>
  <c r="G632" i="1" s="1"/>
  <c r="J9" i="1"/>
  <c r="G9" i="2" s="1"/>
  <c r="C10" i="2"/>
  <c r="D10" i="2"/>
  <c r="E10" i="2"/>
  <c r="F10" i="2"/>
  <c r="F19" i="2" s="1"/>
  <c r="I432" i="1"/>
  <c r="J10" i="1" s="1"/>
  <c r="C11" i="2"/>
  <c r="C12" i="2"/>
  <c r="D12" i="2"/>
  <c r="E12" i="2"/>
  <c r="F12" i="2"/>
  <c r="I433" i="1"/>
  <c r="J12" i="1" s="1"/>
  <c r="G12" i="2" s="1"/>
  <c r="C13" i="2"/>
  <c r="D13" i="2"/>
  <c r="E13" i="2"/>
  <c r="F13" i="2"/>
  <c r="I434" i="1"/>
  <c r="J13" i="1"/>
  <c r="G13" i="2"/>
  <c r="C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C19" i="2" s="1"/>
  <c r="D18" i="2"/>
  <c r="E18" i="2"/>
  <c r="F18" i="2"/>
  <c r="I437" i="1"/>
  <c r="J18" i="1"/>
  <c r="G18" i="2" s="1"/>
  <c r="C22" i="2"/>
  <c r="D22" i="2"/>
  <c r="E22" i="2"/>
  <c r="F22" i="2"/>
  <c r="I440" i="1"/>
  <c r="I444" i="1" s="1"/>
  <c r="I451" i="1" s="1"/>
  <c r="H632" i="1" s="1"/>
  <c r="J23" i="1"/>
  <c r="G22" i="2" s="1"/>
  <c r="C23" i="2"/>
  <c r="D23" i="2"/>
  <c r="E23" i="2"/>
  <c r="F23" i="2"/>
  <c r="I441" i="1"/>
  <c r="J24" i="1"/>
  <c r="G23" i="2" s="1"/>
  <c r="C24" i="2"/>
  <c r="D24" i="2"/>
  <c r="E24" i="2"/>
  <c r="F24" i="2"/>
  <c r="F32" i="2" s="1"/>
  <c r="I442" i="1"/>
  <c r="J25" i="1" s="1"/>
  <c r="G24" i="2" s="1"/>
  <c r="C25" i="2"/>
  <c r="D25" i="2"/>
  <c r="D32" i="2" s="1"/>
  <c r="E25" i="2"/>
  <c r="E32" i="2" s="1"/>
  <c r="F25" i="2"/>
  <c r="C26" i="2"/>
  <c r="F26" i="2"/>
  <c r="C27" i="2"/>
  <c r="F27" i="2"/>
  <c r="C28" i="2"/>
  <c r="C32" i="2" s="1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D34" i="2"/>
  <c r="E34" i="2"/>
  <c r="F34" i="2"/>
  <c r="C35" i="2"/>
  <c r="D35" i="2"/>
  <c r="D42" i="2" s="1"/>
  <c r="E35" i="2"/>
  <c r="E42" i="2" s="1"/>
  <c r="E43" i="2" s="1"/>
  <c r="F35" i="2"/>
  <c r="C36" i="2"/>
  <c r="D36" i="2"/>
  <c r="E36" i="2"/>
  <c r="F36" i="2"/>
  <c r="I446" i="1"/>
  <c r="J37" i="1" s="1"/>
  <c r="C37" i="2"/>
  <c r="D37" i="2"/>
  <c r="E37" i="2"/>
  <c r="F37" i="2"/>
  <c r="I447" i="1"/>
  <c r="J38" i="1"/>
  <c r="C38" i="2"/>
  <c r="D38" i="2"/>
  <c r="E38" i="2"/>
  <c r="F38" i="2"/>
  <c r="I448" i="1"/>
  <c r="J40" i="1" s="1"/>
  <c r="G39" i="2" s="1"/>
  <c r="C40" i="2"/>
  <c r="D40" i="2"/>
  <c r="F40" i="2"/>
  <c r="I449" i="1"/>
  <c r="J41" i="1"/>
  <c r="C41" i="2"/>
  <c r="D41" i="2"/>
  <c r="E41" i="2"/>
  <c r="F41" i="2"/>
  <c r="D48" i="2"/>
  <c r="D55" i="2" s="1"/>
  <c r="D96" i="2" s="1"/>
  <c r="E50" i="2"/>
  <c r="C51" i="2"/>
  <c r="C54" i="2" s="1"/>
  <c r="D51" i="2"/>
  <c r="D54" i="2" s="1"/>
  <c r="E51" i="2"/>
  <c r="F51" i="2"/>
  <c r="F54" i="2" s="1"/>
  <c r="D52" i="2"/>
  <c r="D53" i="2"/>
  <c r="C53" i="2"/>
  <c r="E53" i="2"/>
  <c r="F53" i="2"/>
  <c r="C58" i="2"/>
  <c r="C62" i="2" s="1"/>
  <c r="C59" i="2"/>
  <c r="C61" i="2"/>
  <c r="D61" i="2"/>
  <c r="D62" i="2"/>
  <c r="D73" i="2" s="1"/>
  <c r="E61" i="2"/>
  <c r="E62" i="2"/>
  <c r="F61" i="2"/>
  <c r="F62" i="2" s="1"/>
  <c r="G61" i="2"/>
  <c r="G62" i="2"/>
  <c r="C64" i="2"/>
  <c r="C70" i="2" s="1"/>
  <c r="F64" i="2"/>
  <c r="F70" i="2" s="1"/>
  <c r="C65" i="2"/>
  <c r="F65" i="2"/>
  <c r="C66" i="2"/>
  <c r="C67" i="2"/>
  <c r="C68" i="2"/>
  <c r="E68" i="2"/>
  <c r="F68" i="2"/>
  <c r="C69" i="2"/>
  <c r="D69" i="2"/>
  <c r="D70" i="2"/>
  <c r="E69" i="2"/>
  <c r="E70" i="2"/>
  <c r="E73" i="2" s="1"/>
  <c r="E71" i="2"/>
  <c r="E72" i="2"/>
  <c r="F69" i="2"/>
  <c r="G69" i="2"/>
  <c r="G70" i="2"/>
  <c r="C71" i="2"/>
  <c r="D71" i="2"/>
  <c r="C72" i="2"/>
  <c r="C77" i="2"/>
  <c r="D77" i="2"/>
  <c r="D83" i="2" s="1"/>
  <c r="E77" i="2"/>
  <c r="C79" i="2"/>
  <c r="E79" i="2"/>
  <c r="F79" i="2"/>
  <c r="C80" i="2"/>
  <c r="C83" i="2" s="1"/>
  <c r="D80" i="2"/>
  <c r="D81" i="2"/>
  <c r="F80" i="2"/>
  <c r="C81" i="2"/>
  <c r="E81" i="2"/>
  <c r="E83" i="2"/>
  <c r="F81" i="2"/>
  <c r="C82" i="2"/>
  <c r="C85" i="2"/>
  <c r="F85" i="2"/>
  <c r="C86" i="2"/>
  <c r="F86" i="2"/>
  <c r="F95" i="2" s="1"/>
  <c r="D88" i="2"/>
  <c r="E88" i="2"/>
  <c r="F88" i="2"/>
  <c r="G88" i="2"/>
  <c r="C89" i="2"/>
  <c r="C95" i="2" s="1"/>
  <c r="D89" i="2"/>
  <c r="E89" i="2"/>
  <c r="F89" i="2"/>
  <c r="G89" i="2"/>
  <c r="C90" i="2"/>
  <c r="D90" i="2"/>
  <c r="E90" i="2"/>
  <c r="G90" i="2"/>
  <c r="G95" i="2" s="1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3" i="2"/>
  <c r="C105" i="2"/>
  <c r="D107" i="2"/>
  <c r="D137" i="2" s="1"/>
  <c r="F107" i="2"/>
  <c r="G107" i="2"/>
  <c r="E115" i="2"/>
  <c r="F120" i="2"/>
  <c r="F137" i="2" s="1"/>
  <c r="G120" i="2"/>
  <c r="E122" i="2"/>
  <c r="F126" i="2"/>
  <c r="D126" i="2"/>
  <c r="K419" i="1"/>
  <c r="K425" i="1"/>
  <c r="L255" i="1"/>
  <c r="C127" i="2"/>
  <c r="E127" i="2"/>
  <c r="L256" i="1"/>
  <c r="C128" i="2" s="1"/>
  <c r="L257" i="1"/>
  <c r="C129" i="2"/>
  <c r="E129" i="2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G149" i="2" s="1"/>
  <c r="D149" i="2"/>
  <c r="E149" i="2"/>
  <c r="F149" i="2"/>
  <c r="B150" i="2"/>
  <c r="G150" i="2" s="1"/>
  <c r="C150" i="2"/>
  <c r="D150" i="2"/>
  <c r="E150" i="2"/>
  <c r="F150" i="2"/>
  <c r="B151" i="2"/>
  <c r="C151" i="2"/>
  <c r="D151" i="2"/>
  <c r="G151" i="2" s="1"/>
  <c r="E151" i="2"/>
  <c r="F151" i="2"/>
  <c r="B152" i="2"/>
  <c r="C152" i="2"/>
  <c r="D152" i="2"/>
  <c r="E152" i="2"/>
  <c r="F152" i="2"/>
  <c r="F490" i="1"/>
  <c r="B153" i="2" s="1"/>
  <c r="G153" i="2" s="1"/>
  <c r="G490" i="1"/>
  <c r="C153" i="2"/>
  <c r="H490" i="1"/>
  <c r="K490" i="1" s="1"/>
  <c r="D153" i="2"/>
  <c r="I490" i="1"/>
  <c r="E153" i="2"/>
  <c r="J490" i="1"/>
  <c r="F153" i="2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B156" i="2"/>
  <c r="G493" i="1"/>
  <c r="C156" i="2"/>
  <c r="H493" i="1"/>
  <c r="D156" i="2" s="1"/>
  <c r="I493" i="1"/>
  <c r="E156" i="2"/>
  <c r="J493" i="1"/>
  <c r="F156" i="2"/>
  <c r="F19" i="1"/>
  <c r="G607" i="1"/>
  <c r="H19" i="1"/>
  <c r="G609" i="1"/>
  <c r="I19" i="1"/>
  <c r="G610" i="1" s="1"/>
  <c r="F33" i="1"/>
  <c r="G33" i="1"/>
  <c r="H33" i="1"/>
  <c r="I33" i="1"/>
  <c r="F43" i="1"/>
  <c r="F44" i="1" s="1"/>
  <c r="H607" i="1" s="1"/>
  <c r="J607" i="1" s="1"/>
  <c r="G43" i="1"/>
  <c r="G613" i="1" s="1"/>
  <c r="H43" i="1"/>
  <c r="G614" i="1"/>
  <c r="I43" i="1"/>
  <c r="I44" i="1" s="1"/>
  <c r="H610" i="1" s="1"/>
  <c r="F169" i="1"/>
  <c r="F184" i="1" s="1"/>
  <c r="I169" i="1"/>
  <c r="F175" i="1"/>
  <c r="G175" i="1"/>
  <c r="H175" i="1"/>
  <c r="H184" i="1" s="1"/>
  <c r="I175" i="1"/>
  <c r="J175" i="1"/>
  <c r="J184" i="1"/>
  <c r="F180" i="1"/>
  <c r="G180" i="1"/>
  <c r="H180" i="1"/>
  <c r="I180" i="1"/>
  <c r="G184" i="1"/>
  <c r="G221" i="1"/>
  <c r="G249" i="1" s="1"/>
  <c r="G263" i="1" s="1"/>
  <c r="G239" i="1"/>
  <c r="F248" i="1"/>
  <c r="L248" i="1" s="1"/>
  <c r="G248" i="1"/>
  <c r="H248" i="1"/>
  <c r="I248" i="1"/>
  <c r="J248" i="1"/>
  <c r="L262" i="1"/>
  <c r="G282" i="1"/>
  <c r="H282" i="1"/>
  <c r="F320" i="1"/>
  <c r="G320" i="1"/>
  <c r="I320" i="1"/>
  <c r="F329" i="1"/>
  <c r="G329" i="1"/>
  <c r="H329" i="1"/>
  <c r="L329" i="1" s="1"/>
  <c r="I329" i="1"/>
  <c r="J329" i="1"/>
  <c r="K329" i="1"/>
  <c r="F354" i="1"/>
  <c r="G354" i="1"/>
  <c r="H354" i="1"/>
  <c r="I354" i="1"/>
  <c r="G624" i="1"/>
  <c r="J354" i="1"/>
  <c r="K354" i="1"/>
  <c r="I360" i="1"/>
  <c r="F361" i="1"/>
  <c r="G361" i="1"/>
  <c r="H361" i="1"/>
  <c r="L373" i="1"/>
  <c r="L374" i="1" s="1"/>
  <c r="F374" i="1"/>
  <c r="G374" i="1"/>
  <c r="H374" i="1"/>
  <c r="I374" i="1"/>
  <c r="K374" i="1"/>
  <c r="F385" i="1"/>
  <c r="G385" i="1"/>
  <c r="H385" i="1"/>
  <c r="I385" i="1"/>
  <c r="F393" i="1"/>
  <c r="G393" i="1"/>
  <c r="G400" i="1" s="1"/>
  <c r="H635" i="1" s="1"/>
  <c r="J635" i="1" s="1"/>
  <c r="H393" i="1"/>
  <c r="H400" i="1" s="1"/>
  <c r="H634" i="1" s="1"/>
  <c r="I393" i="1"/>
  <c r="I400" i="1" s="1"/>
  <c r="F399" i="1"/>
  <c r="G399" i="1"/>
  <c r="H399" i="1"/>
  <c r="I399" i="1"/>
  <c r="F400" i="1"/>
  <c r="H633" i="1" s="1"/>
  <c r="L405" i="1"/>
  <c r="L406" i="1"/>
  <c r="L411" i="1" s="1"/>
  <c r="L426" i="1" s="1"/>
  <c r="L407" i="1"/>
  <c r="L409" i="1"/>
  <c r="L410" i="1"/>
  <c r="F411" i="1"/>
  <c r="G411" i="1"/>
  <c r="H411" i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F426" i="1" s="1"/>
  <c r="G425" i="1"/>
  <c r="H425" i="1"/>
  <c r="I425" i="1"/>
  <c r="J425" i="1"/>
  <c r="H426" i="1"/>
  <c r="F438" i="1"/>
  <c r="G629" i="1" s="1"/>
  <c r="J629" i="1" s="1"/>
  <c r="G438" i="1"/>
  <c r="H438" i="1"/>
  <c r="G631" i="1" s="1"/>
  <c r="J631" i="1" s="1"/>
  <c r="F444" i="1"/>
  <c r="G444" i="1"/>
  <c r="G451" i="1" s="1"/>
  <c r="H630" i="1" s="1"/>
  <c r="H444" i="1"/>
  <c r="H451" i="1" s="1"/>
  <c r="H631" i="1" s="1"/>
  <c r="F450" i="1"/>
  <c r="G450" i="1"/>
  <c r="H450" i="1"/>
  <c r="I450" i="1"/>
  <c r="F451" i="1"/>
  <c r="H629" i="1" s="1"/>
  <c r="K485" i="1"/>
  <c r="K486" i="1"/>
  <c r="K487" i="1"/>
  <c r="K488" i="1"/>
  <c r="K489" i="1"/>
  <c r="K491" i="1"/>
  <c r="K492" i="1"/>
  <c r="K493" i="1"/>
  <c r="F507" i="1"/>
  <c r="G507" i="1"/>
  <c r="H507" i="1"/>
  <c r="I507" i="1"/>
  <c r="G514" i="1"/>
  <c r="H514" i="1"/>
  <c r="K514" i="1"/>
  <c r="F519" i="1"/>
  <c r="G519" i="1"/>
  <c r="I519" i="1"/>
  <c r="J519" i="1"/>
  <c r="K519" i="1"/>
  <c r="F524" i="1"/>
  <c r="G524" i="1"/>
  <c r="H524" i="1"/>
  <c r="I524" i="1"/>
  <c r="K524" i="1"/>
  <c r="F529" i="1"/>
  <c r="G529" i="1"/>
  <c r="H529" i="1"/>
  <c r="I529" i="1"/>
  <c r="K529" i="1"/>
  <c r="F534" i="1"/>
  <c r="G534" i="1"/>
  <c r="H534" i="1"/>
  <c r="I534" i="1"/>
  <c r="J534" i="1"/>
  <c r="K534" i="1"/>
  <c r="K535" i="1"/>
  <c r="L547" i="1"/>
  <c r="L548" i="1"/>
  <c r="L550" i="1" s="1"/>
  <c r="L549" i="1"/>
  <c r="F550" i="1"/>
  <c r="F561" i="1" s="1"/>
  <c r="G550" i="1"/>
  <c r="H550" i="1"/>
  <c r="H561" i="1" s="1"/>
  <c r="I550" i="1"/>
  <c r="J550" i="1"/>
  <c r="K550" i="1"/>
  <c r="K561" i="1" s="1"/>
  <c r="L552" i="1"/>
  <c r="L553" i="1"/>
  <c r="L554" i="1"/>
  <c r="F555" i="1"/>
  <c r="G555" i="1"/>
  <c r="G561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I561" i="1" s="1"/>
  <c r="J560" i="1"/>
  <c r="K560" i="1"/>
  <c r="J561" i="1"/>
  <c r="I565" i="1"/>
  <c r="I566" i="1"/>
  <c r="I567" i="1"/>
  <c r="I568" i="1"/>
  <c r="I569" i="1"/>
  <c r="I570" i="1"/>
  <c r="I571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I588" i="1"/>
  <c r="H640" i="1"/>
  <c r="J588" i="1"/>
  <c r="H641" i="1" s="1"/>
  <c r="K592" i="1"/>
  <c r="K593" i="1"/>
  <c r="K594" i="1"/>
  <c r="K595" i="1"/>
  <c r="G638" i="1" s="1"/>
  <c r="H595" i="1"/>
  <c r="I595" i="1"/>
  <c r="J595" i="1"/>
  <c r="F604" i="1"/>
  <c r="G604" i="1"/>
  <c r="H604" i="1"/>
  <c r="I604" i="1"/>
  <c r="J604" i="1"/>
  <c r="K604" i="1"/>
  <c r="L604" i="1"/>
  <c r="G630" i="1"/>
  <c r="J630" i="1" s="1"/>
  <c r="G633" i="1"/>
  <c r="J633" i="1" s="1"/>
  <c r="G634" i="1"/>
  <c r="J634" i="1" s="1"/>
  <c r="H639" i="1"/>
  <c r="G641" i="1"/>
  <c r="G642" i="1"/>
  <c r="H642" i="1"/>
  <c r="J642" i="1"/>
  <c r="G643" i="1"/>
  <c r="J643" i="1" s="1"/>
  <c r="H643" i="1"/>
  <c r="G644" i="1"/>
  <c r="H644" i="1"/>
  <c r="J644" i="1"/>
  <c r="G645" i="1"/>
  <c r="H645" i="1"/>
  <c r="J645" i="1"/>
  <c r="D95" i="2"/>
  <c r="G37" i="2"/>
  <c r="G635" i="1"/>
  <c r="I301" i="1"/>
  <c r="D119" i="2"/>
  <c r="D120" i="2"/>
  <c r="G639" i="1"/>
  <c r="J639" i="1"/>
  <c r="C116" i="2"/>
  <c r="H637" i="1"/>
  <c r="H203" i="1"/>
  <c r="L194" i="1"/>
  <c r="L217" i="1"/>
  <c r="H44" i="1"/>
  <c r="H609" i="1"/>
  <c r="I184" i="1"/>
  <c r="L243" i="1"/>
  <c r="C106" i="2" s="1"/>
  <c r="G17" i="13"/>
  <c r="K248" i="1"/>
  <c r="D18" i="13"/>
  <c r="C18" i="13"/>
  <c r="D17" i="13"/>
  <c r="C17" i="13"/>
  <c r="F652" i="1"/>
  <c r="L354" i="1"/>
  <c r="G625" i="1" s="1"/>
  <c r="J625" i="1" s="1"/>
  <c r="G462" i="1"/>
  <c r="H625" i="1" s="1"/>
  <c r="G426" i="1"/>
  <c r="K588" i="1"/>
  <c r="G637" i="1" s="1"/>
  <c r="J637" i="1" s="1"/>
  <c r="L555" i="1"/>
  <c r="G535" i="1"/>
  <c r="J529" i="1"/>
  <c r="L527" i="1"/>
  <c r="I540" i="1" s="1"/>
  <c r="L315" i="1"/>
  <c r="H320" i="1"/>
  <c r="I411" i="1"/>
  <c r="I426" i="1"/>
  <c r="G40" i="2"/>
  <c r="D29" i="13"/>
  <c r="C29" i="13"/>
  <c r="C27" i="10"/>
  <c r="C24" i="10"/>
  <c r="E95" i="2"/>
  <c r="G152" i="2"/>
  <c r="G148" i="2"/>
  <c r="F42" i="2"/>
  <c r="G54" i="2"/>
  <c r="G73" i="2"/>
  <c r="J609" i="1"/>
  <c r="G628" i="1" l="1"/>
  <c r="J462" i="1"/>
  <c r="G10" i="2"/>
  <c r="G19" i="2" s="1"/>
  <c r="J19" i="1"/>
  <c r="G611" i="1" s="1"/>
  <c r="H185" i="1"/>
  <c r="F43" i="2"/>
  <c r="J610" i="1"/>
  <c r="G156" i="2"/>
  <c r="I542" i="1"/>
  <c r="G185" i="1"/>
  <c r="C36" i="10"/>
  <c r="I651" i="1"/>
  <c r="J43" i="1"/>
  <c r="G36" i="2"/>
  <c r="G42" i="2" s="1"/>
  <c r="C43" i="2"/>
  <c r="C130" i="2"/>
  <c r="C133" i="2" s="1"/>
  <c r="L400" i="1"/>
  <c r="C104" i="2"/>
  <c r="E110" i="2"/>
  <c r="J458" i="1"/>
  <c r="G621" i="1"/>
  <c r="G636" i="1"/>
  <c r="E101" i="2"/>
  <c r="E107" i="2" s="1"/>
  <c r="C38" i="10"/>
  <c r="F185" i="1"/>
  <c r="E136" i="2"/>
  <c r="J539" i="1"/>
  <c r="J542" i="1" s="1"/>
  <c r="L534" i="1"/>
  <c r="C21" i="10"/>
  <c r="E116" i="2"/>
  <c r="C16" i="10"/>
  <c r="C111" i="2"/>
  <c r="D7" i="13"/>
  <c r="C7" i="13" s="1"/>
  <c r="G539" i="1"/>
  <c r="G542" i="1" s="1"/>
  <c r="L519" i="1"/>
  <c r="G32" i="2"/>
  <c r="I249" i="1"/>
  <c r="I263" i="1" s="1"/>
  <c r="L561" i="1"/>
  <c r="G137" i="2"/>
  <c r="J632" i="1"/>
  <c r="K540" i="1"/>
  <c r="K541" i="1"/>
  <c r="K249" i="1"/>
  <c r="K263" i="1" s="1"/>
  <c r="C112" i="2"/>
  <c r="E8" i="13"/>
  <c r="C17" i="10"/>
  <c r="F73" i="2"/>
  <c r="C25" i="13"/>
  <c r="H33" i="13"/>
  <c r="J608" i="1"/>
  <c r="G626" i="1"/>
  <c r="I462" i="1"/>
  <c r="C73" i="2"/>
  <c r="C96" i="2" s="1"/>
  <c r="F55" i="2"/>
  <c r="F96" i="2" s="1"/>
  <c r="C117" i="2"/>
  <c r="E16" i="13"/>
  <c r="C16" i="13" s="1"/>
  <c r="J641" i="1"/>
  <c r="D43" i="2"/>
  <c r="G33" i="13"/>
  <c r="C114" i="2"/>
  <c r="E13" i="13"/>
  <c r="C13" i="13" s="1"/>
  <c r="C19" i="10"/>
  <c r="I653" i="1"/>
  <c r="C15" i="10"/>
  <c r="L235" i="1"/>
  <c r="C20" i="10" s="1"/>
  <c r="J330" i="1"/>
  <c r="J344" i="1" s="1"/>
  <c r="F221" i="1"/>
  <c r="F249" i="1" s="1"/>
  <c r="F263" i="1" s="1"/>
  <c r="H301" i="1"/>
  <c r="H330" i="1" s="1"/>
  <c r="H344" i="1" s="1"/>
  <c r="L521" i="1"/>
  <c r="L511" i="1"/>
  <c r="C26" i="10"/>
  <c r="L207" i="1"/>
  <c r="G44" i="1"/>
  <c r="H608" i="1" s="1"/>
  <c r="G464" i="1"/>
  <c r="L282" i="1"/>
  <c r="G615" i="1"/>
  <c r="K330" i="1"/>
  <c r="K344" i="1" s="1"/>
  <c r="J203" i="1"/>
  <c r="J249" i="1" s="1"/>
  <c r="D12" i="13"/>
  <c r="C12" i="13" s="1"/>
  <c r="L203" i="1"/>
  <c r="G612" i="1"/>
  <c r="F301" i="1"/>
  <c r="C25" i="10"/>
  <c r="C110" i="2"/>
  <c r="J33" i="1"/>
  <c r="D14" i="2"/>
  <c r="D19" i="2" s="1"/>
  <c r="C29" i="10"/>
  <c r="F282" i="1"/>
  <c r="L343" i="1"/>
  <c r="L227" i="1"/>
  <c r="D6" i="13"/>
  <c r="C6" i="13" s="1"/>
  <c r="G8" i="13"/>
  <c r="H651" i="1"/>
  <c r="G652" i="1"/>
  <c r="I652" i="1" s="1"/>
  <c r="F8" i="13"/>
  <c r="C113" i="2"/>
  <c r="I161" i="1"/>
  <c r="C39" i="10" s="1"/>
  <c r="F22" i="13"/>
  <c r="C22" i="13" s="1"/>
  <c r="C41" i="10" l="1"/>
  <c r="D39" i="10"/>
  <c r="D5" i="13"/>
  <c r="L221" i="1"/>
  <c r="G650" i="1" s="1"/>
  <c r="G654" i="1" s="1"/>
  <c r="C10" i="10"/>
  <c r="G627" i="1"/>
  <c r="H636" i="1"/>
  <c r="J636" i="1" s="1"/>
  <c r="L514" i="1"/>
  <c r="L535" i="1" s="1"/>
  <c r="F539" i="1"/>
  <c r="H539" i="1"/>
  <c r="H542" i="1" s="1"/>
  <c r="L524" i="1"/>
  <c r="G617" i="1"/>
  <c r="F458" i="1"/>
  <c r="F650" i="1"/>
  <c r="I185" i="1"/>
  <c r="D38" i="10"/>
  <c r="G43" i="2"/>
  <c r="J44" i="1"/>
  <c r="H611" i="1" s="1"/>
  <c r="G616" i="1"/>
  <c r="H458" i="1"/>
  <c r="G619" i="1"/>
  <c r="C103" i="2"/>
  <c r="C12" i="10"/>
  <c r="J263" i="1"/>
  <c r="H638" i="1"/>
  <c r="J638" i="1" s="1"/>
  <c r="C101" i="2"/>
  <c r="C107" i="2" s="1"/>
  <c r="C136" i="2"/>
  <c r="J611" i="1"/>
  <c r="F330" i="1"/>
  <c r="F344" i="1" s="1"/>
  <c r="E33" i="13"/>
  <c r="D35" i="13" s="1"/>
  <c r="C8" i="13"/>
  <c r="D31" i="13"/>
  <c r="C31" i="13" s="1"/>
  <c r="L330" i="1"/>
  <c r="L344" i="1" s="1"/>
  <c r="L239" i="1"/>
  <c r="H650" i="1" s="1"/>
  <c r="H654" i="1" s="1"/>
  <c r="C115" i="2"/>
  <c r="C120" i="2" s="1"/>
  <c r="J621" i="1"/>
  <c r="D36" i="10"/>
  <c r="H628" i="1"/>
  <c r="J464" i="1"/>
  <c r="H626" i="1"/>
  <c r="I464" i="1"/>
  <c r="D14" i="13"/>
  <c r="C14" i="13" s="1"/>
  <c r="J460" i="1"/>
  <c r="H621" i="1"/>
  <c r="H627" i="1"/>
  <c r="G618" i="1"/>
  <c r="G458" i="1"/>
  <c r="J628" i="1"/>
  <c r="J626" i="1"/>
  <c r="F33" i="13"/>
  <c r="E120" i="2"/>
  <c r="E137" i="2" s="1"/>
  <c r="H662" i="1" l="1"/>
  <c r="C6" i="10" s="1"/>
  <c r="H657" i="1"/>
  <c r="J627" i="1"/>
  <c r="H462" i="1"/>
  <c r="G623" i="1"/>
  <c r="C137" i="2"/>
  <c r="G620" i="1"/>
  <c r="I458" i="1"/>
  <c r="J466" i="1"/>
  <c r="H616" i="1" s="1"/>
  <c r="I650" i="1"/>
  <c r="I654" i="1" s="1"/>
  <c r="F654" i="1"/>
  <c r="L249" i="1"/>
  <c r="L263" i="1" s="1"/>
  <c r="C28" i="10"/>
  <c r="D10" i="10" s="1"/>
  <c r="H617" i="1"/>
  <c r="J617" i="1" s="1"/>
  <c r="F460" i="1"/>
  <c r="G662" i="1"/>
  <c r="C5" i="10" s="1"/>
  <c r="G657" i="1"/>
  <c r="C5" i="13"/>
  <c r="D33" i="13"/>
  <c r="D36" i="13" s="1"/>
  <c r="H619" i="1"/>
  <c r="J619" i="1" s="1"/>
  <c r="H460" i="1"/>
  <c r="J616" i="1"/>
  <c r="F542" i="1"/>
  <c r="K539" i="1"/>
  <c r="K542" i="1" s="1"/>
  <c r="H618" i="1"/>
  <c r="J618" i="1" s="1"/>
  <c r="G460" i="1"/>
  <c r="G466" i="1" s="1"/>
  <c r="H613" i="1" s="1"/>
  <c r="J613" i="1" s="1"/>
  <c r="D40" i="10"/>
  <c r="D35" i="10"/>
  <c r="D37" i="10"/>
  <c r="D41" i="10" l="1"/>
  <c r="F662" i="1"/>
  <c r="C4" i="10" s="1"/>
  <c r="F657" i="1"/>
  <c r="D12" i="10"/>
  <c r="I460" i="1"/>
  <c r="I466" i="1" s="1"/>
  <c r="H615" i="1" s="1"/>
  <c r="J615" i="1" s="1"/>
  <c r="H620" i="1"/>
  <c r="I657" i="1"/>
  <c r="I662" i="1"/>
  <c r="C7" i="10" s="1"/>
  <c r="J620" i="1"/>
  <c r="H464" i="1"/>
  <c r="H623" i="1"/>
  <c r="J623" i="1" s="1"/>
  <c r="H466" i="1"/>
  <c r="H614" i="1" s="1"/>
  <c r="J614" i="1" s="1"/>
  <c r="D22" i="10"/>
  <c r="D23" i="10"/>
  <c r="C30" i="10"/>
  <c r="D27" i="10"/>
  <c r="D13" i="10"/>
  <c r="D24" i="10"/>
  <c r="D11" i="10"/>
  <c r="D28" i="10" s="1"/>
  <c r="D18" i="10"/>
  <c r="D20" i="10"/>
  <c r="D19" i="10"/>
  <c r="D15" i="10"/>
  <c r="D16" i="10"/>
  <c r="D21" i="10"/>
  <c r="D25" i="10"/>
  <c r="D17" i="10"/>
  <c r="D26" i="10"/>
  <c r="F462" i="1"/>
  <c r="G622" i="1"/>
  <c r="H622" i="1" l="1"/>
  <c r="J622" i="1" s="1"/>
  <c r="F464" i="1"/>
  <c r="F466" i="1" s="1"/>
  <c r="H612" i="1" s="1"/>
  <c r="J612" i="1" s="1"/>
  <c r="H6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DFAEB01E-29F4-43AC-9410-731EE2AFC6E7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857E8E55-9024-4CC4-B86E-9B15653380C3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EC6E2ADC-04F4-49F8-BC26-86E94BBD4E2A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5C4B1A4-0932-4716-BD79-6A10BF7E8502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ADDBF8C1-9E63-4C1B-9CA7-53E79308A6C3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62BB821-FD18-4449-AE65-FDF93A555EBD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4E4E6D2B-A566-435C-B527-EA23EAE14AFB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D3ED7176-05E6-43D5-A6E0-BCCCE1DE0D48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4E8F9A17-F9DF-442D-BF31-F997F7EC9CF2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DD9EF204-4668-4FBC-A49A-A2350A332120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E4F04E67-3FE6-4F6B-B8C1-46465119C98A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0A3A7795-AEE9-419B-9BF2-DE2404408068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<sst xmlns="http://schemas.openxmlformats.org/spreadsheetml/2006/main" count="3862" uniqueCount="899">
  <si>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</si>
  <si>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</si>
  <si>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</si>
  <si>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</si>
  <si>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</si>
  <si>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</si>
  <si>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</si>
  <si>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</si>
  <si>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</si>
  <si>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</si>
  <si>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</si>
  <si>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</si>
  <si>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</si>
  <si>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</si>
  <si>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</si>
  <si>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</si>
  <si>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</si>
  <si>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</si>
  <si>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</si>
  <si>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</si>
  <si>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</si>
  <si>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</si>
  <si>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</si>
  <si>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</si>
  <si>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</si>
  <si>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</si>
  <si>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</si>
  <si>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</si>
  <si>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</si>
  <si>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</si>
  <si>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</si>
  <si>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</si>
  <si>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</si>
  <si>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</si>
  <si>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</si>
  <si>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</si>
  <si>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</si>
  <si>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</si>
  <si>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</si>
  <si>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</si>
  <si>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</si>
  <si>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</si>
  <si>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</si>
  <si>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</si>
  <si>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</si>
  <si>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</si>
  <si>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</si>
  <si>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</si>
  <si>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</si>
  <si>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</si>
  <si>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</si>
  <si>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</si>
  <si>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</si>
  <si>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</si>
  <si>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</si>
  <si>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</si>
  <si>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</si>
  <si>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</si>
  <si>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</si>
  <si>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</si>
  <si>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</si>
  <si>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</si>
  <si>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</si>
  <si>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</si>
  <si>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</si>
  <si>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</si>
  <si>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</si>
  <si>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</si>
  <si>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</si>
  <si>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</si>
  <si>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</si>
  <si>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</si>
  <si>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</si>
  <si>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</si>
  <si>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</si>
  <si>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</si>
  <si>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</si>
  <si>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</si>
  <si>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</si>
  <si>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</si>
  <si>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</si>
  <si>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</si>
  <si>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</si>
  <si>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</si>
  <si>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</si>
  <si>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</si>
  <si>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</si>
  <si>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</si>
  <si>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</si>
  <si>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</si>
  <si>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</si>
  <si>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</si>
  <si>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</si>
  <si>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</si>
  <si>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</si>
  <si>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</si>
  <si>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</si>
  <si>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</si>
  <si>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</si>
  <si>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</si>
  <si>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</si>
  <si>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</si>
  <si>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</si>
  <si>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</si>
  <si>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</si>
  <si>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</si>
  <si>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</si>
  <si>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</si>
  <si>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</si>
  <si>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</si>
  <si>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</si>
  <si>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</si>
  <si>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</si>
  <si>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</si>
  <si>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</si>
  <si>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</si>
  <si>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</si>
  <si>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</si>
  <si>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</si>
  <si>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</si>
  <si>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</si>
  <si>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</si>
  <si>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</si>
  <si>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</si>
  <si>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</si>
  <si>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</si>
  <si>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</si>
  <si>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</si>
  <si>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</si>
  <si>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</si>
  <si>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</si>
  <si>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</si>
  <si>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</si>
  <si>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</si>
  <si>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</si>
  <si>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</si>
  <si>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</si>
  <si>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</si>
  <si>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</si>
  <si>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</si>
  <si>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</si>
  <si>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</si>
  <si>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</si>
  <si>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</si>
  <si>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</si>
  <si>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</si>
  <si>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</si>
  <si>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</si>
  <si>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</si>
  <si>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</si>
  <si>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</si>
  <si>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</si>
  <si>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</si>
  <si>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</si>
  <si>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</si>
  <si>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</si>
  <si>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</si>
  <si>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</si>
  <si>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</si>
  <si>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</si>
  <si>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</si>
  <si>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</si>
  <si>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</si>
  <si>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</si>
  <si>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</si>
  <si>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</si>
  <si>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</si>
  <si>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</si>
  <si>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</si>
  <si>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</si>
  <si>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</si>
  <si>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</si>
  <si>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</si>
  <si>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</si>
  <si>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</si>
  <si>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</si>
  <si>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</si>
  <si>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</si>
  <si>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</si>
  <si>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</si>
  <si>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</si>
  <si>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</si>
  <si>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</si>
  <si>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</si>
  <si>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</si>
  <si>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</si>
  <si>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</si>
  <si>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</si>
  <si>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</si>
  <si>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</si>
  <si>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</si>
  <si>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</si>
  <si>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</si>
  <si>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</si>
  <si>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</si>
  <si>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</si>
  <si>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</si>
  <si>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</si>
  <si>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</si>
  <si>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</si>
  <si>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</si>
  <si>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</si>
  <si>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</si>
  <si>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</si>
  <si>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</si>
  <si>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</si>
  <si>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</si>
  <si>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</si>
  <si>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</si>
  <si>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</si>
  <si>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</si>
  <si>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</si>
  <si>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</si>
  <si>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</si>
  <si>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</si>
  <si>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</si>
  <si>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</si>
  <si>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</si>
  <si>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</si>
  <si>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</si>
  <si>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</si>
  <si>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</si>
  <si>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</si>
  <si>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</si>
  <si>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</si>
  <si>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</si>
  <si>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</si>
  <si>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</si>
  <si>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</si>
  <si>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</si>
  <si>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</si>
  <si>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</si>
  <si>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</si>
  <si>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</si>
  <si>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</si>
  <si>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</si>
  <si>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</si>
  <si>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</si>
  <si>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</si>
  <si>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</si>
  <si>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</si>
  <si>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</si>
  <si>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</si>
  <si>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</si>
  <si>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</si>
  <si>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</si>
  <si>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</si>
  <si>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</si>
  <si>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</si>
  <si>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</si>
  <si>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</si>
  <si>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</si>
  <si>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</si>
  <si>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</si>
  <si>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</si>
  <si>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</si>
  <si>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</si>
  <si>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</si>
  <si>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</si>
  <si>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</si>
  <si>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</si>
  <si>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</si>
  <si>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</si>
  <si>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</si>
  <si>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</si>
  <si>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</si>
  <si>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</si>
  <si>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</si>
  <si>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</si>
  <si>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</si>
  <si>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</si>
  <si>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</si>
  <si>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</si>
  <si>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</si>
  <si>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</si>
  <si>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</si>
  <si>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</si>
  <si>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</si>
  <si>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</si>
  <si>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</si>
  <si>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</si>
  <si>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</si>
  <si>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</si>
  <si>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</si>
  <si>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</si>
  <si>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</si>
  <si>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</si>
  <si>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</si>
  <si>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</si>
  <si>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</si>
  <si>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</si>
  <si>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</si>
  <si>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</si>
  <si>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</si>
  <si>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</si>
  <si>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</si>
  <si>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</si>
  <si>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</si>
  <si>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</si>
  <si>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</si>
  <si>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</si>
  <si>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</si>
  <si>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</si>
  <si>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</si>
  <si>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</si>
  <si>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</si>
  <si>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</si>
  <si>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</si>
  <si>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</si>
  <si>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</si>
  <si>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</si>
  <si>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</si>
  <si>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</si>
  <si>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</si>
  <si>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</si>
  <si>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</si>
  <si>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</si>
  <si>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</si>
  <si>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</si>
  <si>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</si>
  <si>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</si>
  <si>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</si>
  <si>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</si>
  <si>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</si>
  <si>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</si>
  <si>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</si>
  <si>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</si>
  <si>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</si>
  <si>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</si>
  <si>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</si>
  <si>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</si>
  <si>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</si>
  <si>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</si>
  <si>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</si>
  <si>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</si>
  <si>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</si>
  <si>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</si>
  <si>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</si>
  <si>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</si>
  <si>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</si>
  <si>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</si>
  <si>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</si>
  <si>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</si>
  <si>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</si>
  <si>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</si>
  <si>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</si>
  <si>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</si>
  <si>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</si>
  <si>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</si>
  <si>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</si>
  <si>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</si>
  <si>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</si>
  <si>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</si>
  <si>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</si>
  <si>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</si>
  <si>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</si>
  <si>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</si>
  <si>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</si>
  <si>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</si>
  <si>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</si>
  <si>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</si>
  <si>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</si>
  <si>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</si>
  <si>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</si>
  <si>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</si>
  <si>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</si>
  <si>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</si>
  <si>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</si>
  <si>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</si>
  <si>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</si>
  <si>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</si>
  <si>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</si>
  <si>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</si>
  <si>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</si>
  <si>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</si>
  <si>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</si>
  <si>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</si>
  <si>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</si>
  <si>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</si>
  <si>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</si>
  <si>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</si>
  <si>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</si>
  <si>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</si>
  <si>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</si>
  <si>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</si>
  <si>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</si>
  <si>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</si>
  <si>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</si>
  <si>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</si>
  <si>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</si>
  <si>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</si>
  <si>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</si>
  <si>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</si>
  <si>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</si>
  <si>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</si>
  <si>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</si>
  <si>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</si>
  <si>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</si>
  <si>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</si>
  <si>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</si>
  <si>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</si>
  <si>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</si>
  <si>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</si>
  <si>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</si>
  <si>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</si>
  <si>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</si>
  <si>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</si>
  <si>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</si>
  <si>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</si>
  <si>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</si>
  <si>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</si>
  <si>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</si>
  <si>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</si>
  <si>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</si>
  <si>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</si>
  <si>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</si>
  <si>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</si>
  <si>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</si>
  <si>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</si>
  <si>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</si>
  <si>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</si>
  <si>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</si>
  <si>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</si>
  <si>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</si>
  <si>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</si>
  <si>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</si>
  <si>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</si>
  <si>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</si>
  <si>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</si>
  <si>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</si>
  <si>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</si>
  <si>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</si>
  <si>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</si>
  <si>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</si>
  <si>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</si>
  <si>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</si>
  <si>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</si>
  <si>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</si>
  <si>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</si>
  <si>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</si>
  <si>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</si>
  <si>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</si>
  <si>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</si>
  <si>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</si>
  <si>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</si>
  <si>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</si>
  <si>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</si>
  <si>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</si>
  <si>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</si>
  <si>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</si>
  <si>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</si>
  <si>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</si>
  <si>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</si>
  <si>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</si>
  <si>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</si>
  <si>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</si>
  <si>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</si>
  <si>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</si>
  <si>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</si>
  <si>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</si>
  <si>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</si>
  <si>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</si>
  <si>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</si>
  <si>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</si>
  <si>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</si>
  <si>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</si>
  <si>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</si>
  <si>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</si>
  <si>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</si>
  <si>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</si>
  <si>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</si>
  <si>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</si>
  <si>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</si>
  <si>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</si>
  <si>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</si>
  <si>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</si>
  <si>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</si>
  <si>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</si>
  <si>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</si>
  <si>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</si>
  <si>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</si>
  <si>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</si>
  <si>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</si>
  <si>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</si>
  <si>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</si>
  <si>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</si>
  <si>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</si>
  <si>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</si>
  <si>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</si>
  <si>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</si>
  <si>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</si>
  <si>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</si>
  <si>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</si>
  <si>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</si>
  <si>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</si>
  <si>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</si>
  <si>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</si>
  <si>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</si>
  <si>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</si>
  <si>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</si>
  <si>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</si>
  <si>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</si>
  <si>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</si>
  <si>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</si>
  <si>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</si>
  <si>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</si>
  <si>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</si>
  <si>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</si>
  <si>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</si>
  <si>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</si>
  <si>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</si>
  <si>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</si>
  <si>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</si>
  <si>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</si>
  <si>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</si>
  <si>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</si>
  <si>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</si>
  <si>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</si>
  <si>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</si>
  <si>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</si>
  <si>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</si>
  <si>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</si>
  <si>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</si>
  <si>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</si>
  <si>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</si>
  <si>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</si>
  <si>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</si>
  <si>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</si>
  <si>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</si>
  <si>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</si>
  <si>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</si>
  <si>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</si>
  <si>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</si>
  <si>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</si>
  <si>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</si>
  <si>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</si>
  <si>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</si>
  <si>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</si>
  <si>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</si>
  <si>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</si>
  <si>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</si>
  <si>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</si>
  <si>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</si>
  <si>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</si>
  <si>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</si>
  <si>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</si>
  <si>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</si>
  <si>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</si>
  <si>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</si>
  <si>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</si>
  <si>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</si>
  <si>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</si>
  <si>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</si>
  <si>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</si>
  <si>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</si>
  <si>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</si>
  <si>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</si>
  <si>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</si>
  <si>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</si>
  <si>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</si>
  <si>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</si>
  <si>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</si>
  <si>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</si>
  <si>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</si>
  <si>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</si>
  <si>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</si>
  <si>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</si>
  <si>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</si>
  <si>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</si>
  <si>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</si>
  <si>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</si>
  <si>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</si>
  <si>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</si>
  <si>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</si>
  <si>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</si>
  <si>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</si>
  <si>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</si>
  <si>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</si>
  <si>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</si>
  <si>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</si>
  <si>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</si>
  <si>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</si>
  <si>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</si>
  <si>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</si>
  <si>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</si>
  <si>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</si>
  <si>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</si>
  <si>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</si>
  <si>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</si>
  <si>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</si>
  <si>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</si>
  <si>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</si>
  <si>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</si>
  <si>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</si>
  <si>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</si>
  <si>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</si>
  <si>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</si>
  <si>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</si>
  <si>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</si>
  <si>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</si>
  <si>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</si>
  <si>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</si>
  <si>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</si>
  <si>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</si>
  <si>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</si>
  <si>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</si>
  <si>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</si>
  <si>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</si>
  <si>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</si>
  <si>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</si>
  <si>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</si>
  <si>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</si>
  <si>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</si>
  <si>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</si>
  <si>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</si>
  <si>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</si>
  <si>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</si>
  <si>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</si>
  <si>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</si>
  <si>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</si>
  <si>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</si>
  <si>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</si>
  <si>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</si>
  <si>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</si>
  <si>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</si>
  <si>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</si>
  <si>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</si>
  <si>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</si>
  <si>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</si>
  <si>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</si>
  <si>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</si>
  <si>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</si>
  <si>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</si>
  <si>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</si>
  <si>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</si>
  <si>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</si>
  <si>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</si>
  <si>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</si>
  <si>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</si>
  <si>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</si>
  <si>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</si>
  <si>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</si>
  <si>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</si>
  <si>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</si>
  <si>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</si>
  <si>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</si>
  <si>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</si>
  <si>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</si>
  <si>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</si>
  <si>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</si>
  <si>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</si>
  <si>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</si>
  <si>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</si>
  <si>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</si>
  <si>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</si>
  <si>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</si>
  <si>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</si>
  <si>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</si>
  <si>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</si>
  <si>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</si>
  <si>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</si>
  <si>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</si>
  <si>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</si>
  <si>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</si>
  <si>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</si>
  <si>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</si>
  <si>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</si>
  <si>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</si>
  <si>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</si>
  <si>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</si>
  <si>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</si>
  <si>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</si>
  <si>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</si>
  <si>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</si>
  <si>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</si>
  <si>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</si>
  <si>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</si>
  <si>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</si>
  <si>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</si>
  <si>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</si>
  <si>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</si>
  <si>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</si>
  <si>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</si>
  <si>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</si>
  <si>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</si>
  <si>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</si>
  <si>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</si>
  <si>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</si>
  <si>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</si>
  <si>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</si>
  <si>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</si>
  <si>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</si>
  <si>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</si>
  <si>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</si>
  <si>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</si>
  <si>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</si>
  <si>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</si>
  <si>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</si>
  <si>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</si>
  <si>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</si>
  <si>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</si>
  <si>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</si>
  <si>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</si>
  <si>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</si>
  <si>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</si>
  <si>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</si>
  <si>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</si>
  <si>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</si>
  <si>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</si>
  <si>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</si>
  <si>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</si>
  <si>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</si>
  <si>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</si>
  <si>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</si>
  <si>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</si>
  <si>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</si>
  <si>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</si>
  <si>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</si>
  <si>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</si>
  <si>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</si>
  <si>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</si>
  <si>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</si>
  <si>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</si>
  <si>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</si>
  <si>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</si>
  <si>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</si>
  <si>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</si>
  <si>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</si>
  <si>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</si>
  <si>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</si>
  <si>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</si>
  <si>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</si>
  <si>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</si>
  <si>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</si>
  <si>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</si>
  <si>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</si>
  <si>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</si>
  <si>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</si>
  <si>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</si>
  <si>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</si>
  <si>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</si>
  <si>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</si>
  <si>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</si>
  <si>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</si>
  <si>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</si>
  <si>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</si>
  <si>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</si>
  <si>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</si>
  <si>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</si>
  <si>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</si>
  <si>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</si>
  <si>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</si>
  <si>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</si>
  <si>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</si>
  <si>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</si>
  <si>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</si>
  <si>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</si>
  <si>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</si>
  <si>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</si>
  <si>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</si>
  <si>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</si>
  <si>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</si>
  <si>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</si>
  <si>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</si>
  <si>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</si>
  <si>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</si>
  <si>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</si>
  <si>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</si>
  <si>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</si>
  <si>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</si>
  <si>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</si>
  <si>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</si>
  <si>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</si>
  <si>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</si>
  <si>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</si>
  <si>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</si>
  <si>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</si>
  <si>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</si>
  <si>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</si>
  <si>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</si>
  <si>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</si>
  <si>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</si>
  <si>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</si>
  <si>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</si>
  <si>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</si>
  <si>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</si>
  <si>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</si>
  <si>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</si>
  <si>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</si>
  <si>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</si>
  <si>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</si>
  <si>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</si>
  <si>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</si>
  <si>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</si>
  <si>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</si>
  <si>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</si>
  <si>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</si>
  <si>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</si>
  <si>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</si>
  <si>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</si>
  <si>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</si>
  <si>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</si>
  <si>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</si>
  <si>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</si>
  <si>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</si>
  <si>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</si>
  <si>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</si>
  <si>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</si>
  <si>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</si>
  <si>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</si>
  <si>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</si>
  <si>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</si>
  <si>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</si>
  <si>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</si>
  <si>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</si>
  <si>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</si>
  <si>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</si>
  <si>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</si>
  <si>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</si>
  <si>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</si>
  <si>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</si>
  <si>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</si>
  <si>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</si>
  <si>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</si>
  <si>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</si>
  <si>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</si>
  <si>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</si>
  <si>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</si>
  <si>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</si>
  <si>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</si>
  <si>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</si>
  <si>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</si>
  <si>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</si>
  <si>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</si>
  <si>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</si>
  <si>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</si>
  <si>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</si>
  <si>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</si>
  <si>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</si>
  <si>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</si>
  <si>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</si>
  <si>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</si>
  <si>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</si>
  <si>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</si>
  <si>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</si>
  <si>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</si>
  <si>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</si>
  <si>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</si>
  <si>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</si>
  <si>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</si>
  <si>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</si>
  <si>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</si>
  <si>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</si>
  <si>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</si>
  <si>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</si>
  <si>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</si>
  <si>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</si>
  <si>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</si>
  <si>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</si>
  <si>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</si>
  <si>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</si>
  <si>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</si>
  <si>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</si>
  <si>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</si>
  <si>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</si>
  <si>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</si>
  <si>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</si>
  <si>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</si>
  <si>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</si>
  <si>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</si>
  <si>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</si>
  <si>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</si>
  <si>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</si>
  <si>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</si>
  <si>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</si>
  <si>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</si>
  <si>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</si>
  <si>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</si>
  <si>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</si>
  <si>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</si>
  <si>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</si>
  <si>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</si>
  <si>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</si>
  <si>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</si>
  <si>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</si>
  <si>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</si>
  <si>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</si>
  <si>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</si>
  <si>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</si>
  <si>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</si>
  <si>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</si>
  <si>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</si>
  <si>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</si>
  <si>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</si>
  <si>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06/10</t>
  </si>
  <si>
    <t>09/26</t>
  </si>
  <si>
    <t xml:space="preserve">Year end audit adjustments ; </t>
  </si>
  <si>
    <t>Year end audit adjustments</t>
  </si>
  <si>
    <t>Mascenic Regional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</si>
</sst>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BC1C-767F-4C1F-B8D3-A8ED15B3473D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5" activePane="bottomRight" state="frozen"/>
      <selection activeCell="C23" sqref="C23:M23"/>
      <selection pane="topRight" activeCell="C23" sqref="C23:M23"/>
      <selection pane="bottomLeft" activeCell="C23" sqref="C23:M23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342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1481578</v>
      </c>
      <c r="G9" s="18"/>
      <c r="H9" s="18">
        <v>10594</v>
      </c>
      <c r="I9" s="18">
        <v>23264260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92679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>
        <v>116082</v>
      </c>
      <c r="I13" s="18"/>
      <c r="J13" s="67">
        <f>SUM(I434)</f>
        <v>89844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59334</v>
      </c>
      <c r="G14" s="18">
        <f>18983</f>
        <v>18983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2347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1633591</v>
      </c>
      <c r="G19" s="41">
        <f>SUM(G9:G18)</f>
        <v>21330</v>
      </c>
      <c r="H19" s="41">
        <f>SUM(H9:H18)</f>
        <v>126676</v>
      </c>
      <c r="I19" s="41">
        <f>SUM(I9:I18)</f>
        <v>23264260</v>
      </c>
      <c r="J19" s="41">
        <f>SUM(J9:J18)</f>
        <v>89844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10577</v>
      </c>
      <c r="H23" s="18">
        <v>82102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67474</v>
      </c>
      <c r="G25" s="18"/>
      <c r="H25" s="18">
        <v>2419</v>
      </c>
      <c r="I25" s="18">
        <v>584000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67474</v>
      </c>
      <c r="G33" s="41">
        <f>SUM(G23:G32)</f>
        <v>10577</v>
      </c>
      <c r="H33" s="41">
        <f>SUM(H23:H32)</f>
        <v>84521</v>
      </c>
      <c r="I33" s="41">
        <f>SUM(I23:I32)</f>
        <v>584000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2347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10753-2347</f>
        <v>8406</v>
      </c>
      <c r="H41" s="18">
        <f>116082-84521+10594</f>
        <v>42155</v>
      </c>
      <c r="I41" s="18">
        <v>22680260</v>
      </c>
      <c r="J41" s="13">
        <f>SUM(I449)</f>
        <v>89844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1566117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1566117</v>
      </c>
      <c r="G43" s="41">
        <f>SUM(G35:G42)</f>
        <v>10753</v>
      </c>
      <c r="H43" s="41">
        <f>SUM(H35:H42)</f>
        <v>42155</v>
      </c>
      <c r="I43" s="41">
        <f>SUM(I35:I42)</f>
        <v>22680260</v>
      </c>
      <c r="J43" s="41">
        <f>SUM(J35:J42)</f>
        <v>89844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1633591</v>
      </c>
      <c r="G44" s="41">
        <f>G43+G33</f>
        <v>21330</v>
      </c>
      <c r="H44" s="41">
        <f>H43+H33</f>
        <v>126676</v>
      </c>
      <c r="I44" s="41">
        <f>I43+I33</f>
        <v>23264260</v>
      </c>
      <c r="J44" s="41">
        <f>J43+J33</f>
        <v>89844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8128566</v>
      </c>
      <c r="G49" s="18"/>
      <c r="H49" s="18"/>
      <c r="I49" s="18">
        <v>305000</v>
      </c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8128566</v>
      </c>
      <c r="G52" s="41">
        <f>SUM(G49:G51)</f>
        <v>0</v>
      </c>
      <c r="H52" s="41">
        <f>SUM(H49:H51)</f>
        <v>0</v>
      </c>
      <c r="I52" s="41">
        <f>SUM(I49:I51)</f>
        <v>305000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9725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1537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226941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82167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47248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367618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/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5930</v>
      </c>
      <c r="G88" s="18"/>
      <c r="H88" s="18"/>
      <c r="I88" s="18">
        <v>275</v>
      </c>
      <c r="J88" s="18">
        <v>1165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228223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11300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5000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80336</v>
      </c>
      <c r="G101" s="18">
        <v>1256</v>
      </c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22311</v>
      </c>
      <c r="G102" s="18"/>
      <c r="H102" s="18">
        <v>7630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119877</v>
      </c>
      <c r="G103" s="41">
        <f>SUM(G88:G102)</f>
        <v>229479</v>
      </c>
      <c r="H103" s="41">
        <f>SUM(H88:H102)</f>
        <v>12630</v>
      </c>
      <c r="I103" s="41">
        <f>SUM(I88:I102)</f>
        <v>275</v>
      </c>
      <c r="J103" s="41">
        <f>SUM(J88:J102)</f>
        <v>1165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8616061</v>
      </c>
      <c r="G104" s="41">
        <f>G52+G103</f>
        <v>229479</v>
      </c>
      <c r="H104" s="41">
        <f>H52+H71+H86+H103</f>
        <v>12630</v>
      </c>
      <c r="I104" s="41">
        <f>I52+I103</f>
        <v>305275</v>
      </c>
      <c r="J104" s="41">
        <f>J52+J103</f>
        <v>1165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3895829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1253009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1494709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6643547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16057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151807</v>
      </c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125925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169750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55015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7031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4377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13200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857</v>
      </c>
      <c r="G127" s="18"/>
      <c r="H127" s="18">
        <v>4867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539642</v>
      </c>
      <c r="G128" s="41">
        <f>SUM(G115:G127)</f>
        <v>4377</v>
      </c>
      <c r="H128" s="41">
        <f>SUM(H115:H127)</f>
        <v>4867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7183189</v>
      </c>
      <c r="G132" s="41">
        <f>G113+SUM(G128:G129)</f>
        <v>4377</v>
      </c>
      <c r="H132" s="41">
        <f>H113+SUM(H128:H131)</f>
        <v>4867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188700+65805+23000+6100</f>
        <v>283605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6200+5000+17800+34900</f>
        <v>63900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149820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417252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62114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62114</v>
      </c>
      <c r="G154" s="41">
        <f>SUM(G142:G153)</f>
        <v>149820</v>
      </c>
      <c r="H154" s="41">
        <f>SUM(H142:H153)</f>
        <v>764757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62114</v>
      </c>
      <c r="G161" s="41">
        <f>G139+G154+SUM(G155:G160)</f>
        <v>149820</v>
      </c>
      <c r="H161" s="41">
        <f>H139+H154+SUM(H155:H160)</f>
        <v>764757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v>23623315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23623315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768234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768234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400211</v>
      </c>
      <c r="G177" s="18"/>
      <c r="H177" s="18"/>
      <c r="I177" s="18">
        <v>376685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400211</v>
      </c>
      <c r="G180" s="41">
        <f>SUM(G177:G179)</f>
        <v>0</v>
      </c>
      <c r="H180" s="41">
        <f>SUM(H177:H179)</f>
        <v>0</v>
      </c>
      <c r="I180" s="41">
        <f>SUM(I177:I179)</f>
        <v>376685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768234</v>
      </c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1168445</v>
      </c>
      <c r="G184" s="41">
        <f>G175+SUM(G180:G183)</f>
        <v>0</v>
      </c>
      <c r="H184" s="41">
        <f>+H175+SUM(H180:H183)</f>
        <v>0</v>
      </c>
      <c r="I184" s="41">
        <f>I169+I175+SUM(I180:I183)</f>
        <v>24000000</v>
      </c>
      <c r="J184" s="41">
        <f>J175</f>
        <v>768234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17029809</v>
      </c>
      <c r="G185" s="47">
        <f>G104+G132+G161+G184</f>
        <v>383676</v>
      </c>
      <c r="H185" s="47">
        <f>H104+H132+H161+H184</f>
        <v>782254</v>
      </c>
      <c r="I185" s="47">
        <f>I104+I132+I161+I184</f>
        <v>24305275</v>
      </c>
      <c r="J185" s="47">
        <f>J104+J132+J184</f>
        <v>769399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1465014</v>
      </c>
      <c r="G189" s="18">
        <v>507439</v>
      </c>
      <c r="H189" s="18">
        <f>19773+829</f>
        <v>20602</v>
      </c>
      <c r="I189" s="18">
        <v>155449</v>
      </c>
      <c r="J189" s="18">
        <v>131</v>
      </c>
      <c r="K189" s="18"/>
      <c r="L189" s="19">
        <f>SUM(F189:K189)</f>
        <v>2148635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426331</v>
      </c>
      <c r="G190" s="18">
        <v>123928</v>
      </c>
      <c r="H190" s="18">
        <v>92746</v>
      </c>
      <c r="I190" s="18">
        <v>2452</v>
      </c>
      <c r="J190" s="18">
        <v>4754</v>
      </c>
      <c r="K190" s="18"/>
      <c r="L190" s="19">
        <f>SUM(F190:K190)</f>
        <v>650211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266664+11660</f>
        <v>278324</v>
      </c>
      <c r="G194" s="18">
        <f>90053+79</f>
        <v>90132</v>
      </c>
      <c r="H194" s="18">
        <v>26451</v>
      </c>
      <c r="I194" s="18">
        <f>3880+1020</f>
        <v>4900</v>
      </c>
      <c r="J194" s="18">
        <f>462+83</f>
        <v>545</v>
      </c>
      <c r="K194" s="18">
        <v>668</v>
      </c>
      <c r="L194" s="19">
        <f t="shared" ref="L194:L200" si="0">SUM(F194:K194)</f>
        <v>401020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72574</v>
      </c>
      <c r="G195" s="18">
        <f>38560+353</f>
        <v>38913</v>
      </c>
      <c r="H195" s="18">
        <f>7838</f>
        <v>7838</v>
      </c>
      <c r="I195" s="18">
        <f>26929</f>
        <v>26929</v>
      </c>
      <c r="J195" s="18">
        <v>17291</v>
      </c>
      <c r="K195" s="18"/>
      <c r="L195" s="19">
        <f t="shared" si="0"/>
        <v>163545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3050+89009</f>
        <v>92059</v>
      </c>
      <c r="G196" s="18">
        <f>160+36743</f>
        <v>36903</v>
      </c>
      <c r="H196" s="18">
        <f>44244+5172+578+889+9818+2130</f>
        <v>62831</v>
      </c>
      <c r="I196" s="18">
        <f>743+1502+944</f>
        <v>3189</v>
      </c>
      <c r="J196" s="18">
        <f>1177+4823</f>
        <v>6000</v>
      </c>
      <c r="K196" s="18">
        <f>5601+2789</f>
        <v>8390</v>
      </c>
      <c r="L196" s="19">
        <f t="shared" si="0"/>
        <v>209372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209640</v>
      </c>
      <c r="G197" s="18">
        <v>74494</v>
      </c>
      <c r="H197" s="18">
        <f>1728+9609+72</f>
        <v>11409</v>
      </c>
      <c r="I197" s="18">
        <f>4918+76</f>
        <v>4994</v>
      </c>
      <c r="J197" s="18"/>
      <c r="K197" s="18">
        <v>1623</v>
      </c>
      <c r="L197" s="19">
        <f t="shared" si="0"/>
        <v>302160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46108</v>
      </c>
      <c r="G198" s="18">
        <v>24647</v>
      </c>
      <c r="H198" s="18">
        <f>500+1167+968</f>
        <v>2635</v>
      </c>
      <c r="I198" s="18">
        <f>18711</f>
        <v>18711</v>
      </c>
      <c r="J198" s="18">
        <f>3912</f>
        <v>3912</v>
      </c>
      <c r="K198" s="18">
        <v>136</v>
      </c>
      <c r="L198" s="19">
        <f t="shared" si="0"/>
        <v>96149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146191+99</f>
        <v>146290</v>
      </c>
      <c r="G199" s="18">
        <f>66843+40</f>
        <v>66883</v>
      </c>
      <c r="H199" s="18">
        <f>129854+26202+14364+13812</f>
        <v>184232</v>
      </c>
      <c r="I199" s="18">
        <f>82894+2614</f>
        <v>85508</v>
      </c>
      <c r="J199" s="18">
        <f>42517+227078+5045</f>
        <v>274640</v>
      </c>
      <c r="K199" s="18"/>
      <c r="L199" s="19">
        <f t="shared" si="0"/>
        <v>757553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272311</v>
      </c>
      <c r="I200" s="18"/>
      <c r="J200" s="18"/>
      <c r="K200" s="18"/>
      <c r="L200" s="19">
        <f t="shared" si="0"/>
        <v>272311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32946</v>
      </c>
      <c r="G201" s="18">
        <v>9378</v>
      </c>
      <c r="H201" s="18">
        <f>657+2208</f>
        <v>2865</v>
      </c>
      <c r="I201" s="18">
        <v>13430</v>
      </c>
      <c r="J201" s="18">
        <f>13046</f>
        <v>13046</v>
      </c>
      <c r="K201" s="18">
        <v>15300</v>
      </c>
      <c r="L201" s="19">
        <f>SUM(F201:K201)</f>
        <v>86965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2769286</v>
      </c>
      <c r="G203" s="41">
        <f t="shared" si="1"/>
        <v>972717</v>
      </c>
      <c r="H203" s="41">
        <f t="shared" si="1"/>
        <v>683920</v>
      </c>
      <c r="I203" s="41">
        <f t="shared" si="1"/>
        <v>315562</v>
      </c>
      <c r="J203" s="41">
        <f t="shared" si="1"/>
        <v>320319</v>
      </c>
      <c r="K203" s="41">
        <f t="shared" si="1"/>
        <v>26117</v>
      </c>
      <c r="L203" s="41">
        <f t="shared" si="1"/>
        <v>5087921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1343656</v>
      </c>
      <c r="G207" s="18">
        <v>559528</v>
      </c>
      <c r="H207" s="18">
        <f>17003+2540</f>
        <v>19543</v>
      </c>
      <c r="I207" s="18">
        <f>33164</f>
        <v>33164</v>
      </c>
      <c r="J207" s="18">
        <f>12160</f>
        <v>12160</v>
      </c>
      <c r="K207" s="18">
        <v>897</v>
      </c>
      <c r="L207" s="19">
        <f>SUM(F207:K207)</f>
        <v>1968948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370420</v>
      </c>
      <c r="G208" s="18">
        <v>127258</v>
      </c>
      <c r="H208" s="18">
        <f>3031+112942</f>
        <v>115973</v>
      </c>
      <c r="I208" s="18">
        <v>4468</v>
      </c>
      <c r="J208" s="18">
        <v>4156</v>
      </c>
      <c r="K208" s="18"/>
      <c r="L208" s="19">
        <f>SUM(F208:K208)</f>
        <v>622275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21963</v>
      </c>
      <c r="G210" s="18">
        <v>2881</v>
      </c>
      <c r="H210" s="18">
        <v>4517</v>
      </c>
      <c r="I210" s="18">
        <v>1929</v>
      </c>
      <c r="J210" s="18">
        <v>2573</v>
      </c>
      <c r="K210" s="18">
        <v>1050</v>
      </c>
      <c r="L210" s="19">
        <f>SUM(F210:K210)</f>
        <v>34913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177873+11659</f>
        <v>189532</v>
      </c>
      <c r="G212" s="18">
        <f>80197+79</f>
        <v>80276</v>
      </c>
      <c r="H212" s="18">
        <f>7434+99</f>
        <v>7533</v>
      </c>
      <c r="I212" s="18">
        <f>2412+1020</f>
        <v>3432</v>
      </c>
      <c r="J212" s="18">
        <f>742+83</f>
        <v>825</v>
      </c>
      <c r="K212" s="18">
        <v>455</v>
      </c>
      <c r="L212" s="19">
        <f t="shared" ref="L212:L218" si="2">SUM(F212:K212)</f>
        <v>282053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58981</v>
      </c>
      <c r="G213" s="18">
        <f>41365+353</f>
        <v>41718</v>
      </c>
      <c r="H213" s="18">
        <v>7837</v>
      </c>
      <c r="I213" s="18">
        <v>6265</v>
      </c>
      <c r="J213" s="18">
        <v>7434</v>
      </c>
      <c r="K213" s="18"/>
      <c r="L213" s="19">
        <f t="shared" si="2"/>
        <v>122235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1525+89009</f>
        <v>90534</v>
      </c>
      <c r="G214" s="18">
        <f>80+36743</f>
        <v>36823</v>
      </c>
      <c r="H214" s="18">
        <f>22122+3019+578+889+9818+2130</f>
        <v>38556</v>
      </c>
      <c r="I214" s="18">
        <f>371+1502+944</f>
        <v>2817</v>
      </c>
      <c r="J214" s="18">
        <f>1177+4823</f>
        <v>6000</v>
      </c>
      <c r="K214" s="18">
        <f>3568+2789</f>
        <v>6357</v>
      </c>
      <c r="L214" s="19">
        <f t="shared" si="2"/>
        <v>181087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195464</v>
      </c>
      <c r="G215" s="18">
        <v>68153</v>
      </c>
      <c r="H215" s="18">
        <f>4129+11727+72</f>
        <v>15928</v>
      </c>
      <c r="I215" s="18">
        <f>2870+76</f>
        <v>2946</v>
      </c>
      <c r="J215" s="18">
        <v>1181</v>
      </c>
      <c r="K215" s="18">
        <v>1376</v>
      </c>
      <c r="L215" s="19">
        <f t="shared" si="2"/>
        <v>285048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46108</v>
      </c>
      <c r="G216" s="18">
        <v>24647</v>
      </c>
      <c r="H216" s="18">
        <f>500+1167+968</f>
        <v>2635</v>
      </c>
      <c r="I216" s="18">
        <v>18711</v>
      </c>
      <c r="J216" s="18">
        <v>3912</v>
      </c>
      <c r="K216" s="18">
        <v>136</v>
      </c>
      <c r="L216" s="19">
        <f t="shared" si="2"/>
        <v>96149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130399+99</f>
        <v>130498</v>
      </c>
      <c r="G217" s="18">
        <f>75307+40</f>
        <v>75347</v>
      </c>
      <c r="H217" s="18">
        <f>136394+13411+14364</f>
        <v>164169</v>
      </c>
      <c r="I217" s="18">
        <f>68723+2614</f>
        <v>71337</v>
      </c>
      <c r="J217" s="18">
        <f>7750+5045</f>
        <v>12795</v>
      </c>
      <c r="K217" s="18"/>
      <c r="L217" s="19">
        <f t="shared" si="2"/>
        <v>454146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183504</v>
      </c>
      <c r="I218" s="18"/>
      <c r="J218" s="18"/>
      <c r="K218" s="18"/>
      <c r="L218" s="19">
        <f t="shared" si="2"/>
        <v>183504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32242</v>
      </c>
      <c r="G219" s="18">
        <v>9022</v>
      </c>
      <c r="H219" s="18">
        <f>760+2043</f>
        <v>2803</v>
      </c>
      <c r="I219" s="18">
        <v>19158</v>
      </c>
      <c r="J219" s="18">
        <v>32196</v>
      </c>
      <c r="K219" s="18">
        <v>14961</v>
      </c>
      <c r="L219" s="19">
        <f>SUM(F219:K219)</f>
        <v>110382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2479398</v>
      </c>
      <c r="G221" s="41">
        <f>SUM(G207:G220)</f>
        <v>1025653</v>
      </c>
      <c r="H221" s="41">
        <f>SUM(H207:H220)</f>
        <v>562998</v>
      </c>
      <c r="I221" s="41">
        <f>SUM(I207:I220)</f>
        <v>164227</v>
      </c>
      <c r="J221" s="41">
        <f>SUM(J207:J220)</f>
        <v>83232</v>
      </c>
      <c r="K221" s="41">
        <f t="shared" si="3"/>
        <v>25232</v>
      </c>
      <c r="L221" s="41">
        <f t="shared" si="3"/>
        <v>4340740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1556690</v>
      </c>
      <c r="G225" s="18">
        <v>579566</v>
      </c>
      <c r="H225" s="18">
        <f>5500+6270+2738</f>
        <v>14508</v>
      </c>
      <c r="I225" s="18">
        <v>112884</v>
      </c>
      <c r="J225" s="18">
        <v>20477</v>
      </c>
      <c r="K225" s="18">
        <v>596</v>
      </c>
      <c r="L225" s="19">
        <f>SUM(F225:K225)</f>
        <v>2284721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277298</v>
      </c>
      <c r="G226" s="18">
        <v>109944</v>
      </c>
      <c r="H226" s="18">
        <f>171+424359</f>
        <v>424530</v>
      </c>
      <c r="I226" s="18">
        <v>2830</v>
      </c>
      <c r="J226" s="18">
        <v>10406</v>
      </c>
      <c r="K226" s="18"/>
      <c r="L226" s="19">
        <f>SUM(F226:K226)</f>
        <v>825008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146559</v>
      </c>
      <c r="G227" s="18">
        <v>47527</v>
      </c>
      <c r="H227" s="18">
        <f>5963+25945</f>
        <v>31908</v>
      </c>
      <c r="I227" s="18">
        <v>18011</v>
      </c>
      <c r="J227" s="18">
        <v>27425</v>
      </c>
      <c r="K227" s="18"/>
      <c r="L227" s="19">
        <f>SUM(F227:K227)</f>
        <v>271430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72276</v>
      </c>
      <c r="G228" s="18">
        <v>7835</v>
      </c>
      <c r="H228" s="18">
        <f>3165+31707</f>
        <v>34872</v>
      </c>
      <c r="I228" s="18">
        <v>9697</v>
      </c>
      <c r="J228" s="18">
        <v>14398</v>
      </c>
      <c r="K228" s="18">
        <v>11316</v>
      </c>
      <c r="L228" s="19">
        <f>SUM(F228:K228)</f>
        <v>150394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120162+11660</f>
        <v>131822</v>
      </c>
      <c r="G230" s="18">
        <f>58443+79</f>
        <v>58522</v>
      </c>
      <c r="H230" s="18">
        <f>14473+371+2284</f>
        <v>17128</v>
      </c>
      <c r="I230" s="18">
        <f>3120+1020</f>
        <v>4140</v>
      </c>
      <c r="J230" s="18">
        <f>1440+83</f>
        <v>1523</v>
      </c>
      <c r="K230" s="18">
        <v>554</v>
      </c>
      <c r="L230" s="19">
        <f t="shared" ref="L230:L236" si="4">SUM(F230:K230)</f>
        <v>213689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69996</v>
      </c>
      <c r="G231" s="18">
        <f>65651+353</f>
        <v>66004</v>
      </c>
      <c r="H231" s="18">
        <f>15175+928</f>
        <v>16103</v>
      </c>
      <c r="I231" s="18">
        <v>5531</v>
      </c>
      <c r="J231" s="18">
        <v>17905</v>
      </c>
      <c r="K231" s="18">
        <v>175</v>
      </c>
      <c r="L231" s="19">
        <f t="shared" si="4"/>
        <v>175714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1525+89009</f>
        <v>90534</v>
      </c>
      <c r="G232" s="18">
        <f>80+36743</f>
        <v>36823</v>
      </c>
      <c r="H232" s="18">
        <f>22122+4492+578+889+9818+2130</f>
        <v>40029</v>
      </c>
      <c r="I232" s="18">
        <f>371+1502+944</f>
        <v>2817</v>
      </c>
      <c r="J232" s="18">
        <f>1177+4823</f>
        <v>6000</v>
      </c>
      <c r="K232" s="18">
        <f>3669+2789</f>
        <v>6458</v>
      </c>
      <c r="L232" s="19">
        <f t="shared" si="4"/>
        <v>182661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229194</v>
      </c>
      <c r="G233" s="18">
        <v>74847</v>
      </c>
      <c r="H233" s="18">
        <f>21585+16434+72</f>
        <v>38091</v>
      </c>
      <c r="I233" s="18">
        <f>6409+75</f>
        <v>6484</v>
      </c>
      <c r="J233" s="18">
        <v>282</v>
      </c>
      <c r="K233" s="18">
        <v>9498</v>
      </c>
      <c r="L233" s="19">
        <f t="shared" si="4"/>
        <v>358396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46108</v>
      </c>
      <c r="G234" s="18">
        <v>24647</v>
      </c>
      <c r="H234" s="18">
        <f>500+1167+968</f>
        <v>2635</v>
      </c>
      <c r="I234" s="18">
        <v>18711</v>
      </c>
      <c r="J234" s="18">
        <v>3912</v>
      </c>
      <c r="K234" s="18">
        <v>136</v>
      </c>
      <c r="L234" s="19">
        <f t="shared" si="4"/>
        <v>96149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131933+99</f>
        <v>132032</v>
      </c>
      <c r="G235" s="18">
        <f>67033+40</f>
        <v>67073</v>
      </c>
      <c r="H235" s="18">
        <f>72745+13411+14364</f>
        <v>100520</v>
      </c>
      <c r="I235" s="18">
        <f>100230+2614</f>
        <v>102844</v>
      </c>
      <c r="J235" s="18">
        <f>10125+5045</f>
        <v>15170</v>
      </c>
      <c r="K235" s="18"/>
      <c r="L235" s="19">
        <f t="shared" si="4"/>
        <v>417639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395273</v>
      </c>
      <c r="I236" s="18"/>
      <c r="J236" s="18"/>
      <c r="K236" s="18"/>
      <c r="L236" s="19">
        <f t="shared" si="4"/>
        <v>395273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31977</v>
      </c>
      <c r="G237" s="18">
        <v>8841</v>
      </c>
      <c r="H237" s="18">
        <f>748+2043</f>
        <v>2791</v>
      </c>
      <c r="I237" s="18">
        <v>24689</v>
      </c>
      <c r="J237" s="18">
        <v>43347</v>
      </c>
      <c r="K237" s="18">
        <v>13715</v>
      </c>
      <c r="L237" s="19">
        <f>SUM(F237:K237)</f>
        <v>125360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2784486</v>
      </c>
      <c r="G239" s="41">
        <f t="shared" si="5"/>
        <v>1081629</v>
      </c>
      <c r="H239" s="41">
        <f t="shared" si="5"/>
        <v>1118388</v>
      </c>
      <c r="I239" s="41">
        <f t="shared" si="5"/>
        <v>308638</v>
      </c>
      <c r="J239" s="41">
        <f t="shared" si="5"/>
        <v>160845</v>
      </c>
      <c r="K239" s="41">
        <f t="shared" si="5"/>
        <v>42448</v>
      </c>
      <c r="L239" s="41">
        <f t="shared" si="5"/>
        <v>5496434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8033170</v>
      </c>
      <c r="G249" s="41">
        <f t="shared" si="8"/>
        <v>3079999</v>
      </c>
      <c r="H249" s="41">
        <f t="shared" si="8"/>
        <v>2365306</v>
      </c>
      <c r="I249" s="41">
        <f t="shared" si="8"/>
        <v>788427</v>
      </c>
      <c r="J249" s="41">
        <f t="shared" si="8"/>
        <v>564396</v>
      </c>
      <c r="K249" s="41">
        <f t="shared" si="8"/>
        <v>93797</v>
      </c>
      <c r="L249" s="41">
        <f t="shared" si="8"/>
        <v>14925095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768234</v>
      </c>
      <c r="L258" s="19">
        <f t="shared" si="9"/>
        <v>768234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41286</v>
      </c>
      <c r="L261" s="19">
        <f t="shared" si="9"/>
        <v>41286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809520</v>
      </c>
      <c r="L262" s="41">
        <f t="shared" si="9"/>
        <v>809520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8033170</v>
      </c>
      <c r="G263" s="42">
        <f t="shared" si="11"/>
        <v>3079999</v>
      </c>
      <c r="H263" s="42">
        <f t="shared" si="11"/>
        <v>2365306</v>
      </c>
      <c r="I263" s="42">
        <f t="shared" si="11"/>
        <v>788427</v>
      </c>
      <c r="J263" s="42">
        <f t="shared" si="11"/>
        <v>564396</v>
      </c>
      <c r="K263" s="42">
        <f t="shared" si="11"/>
        <v>903317</v>
      </c>
      <c r="L263" s="42">
        <f t="shared" si="11"/>
        <v>15734615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1456+59602</f>
        <v>61058</v>
      </c>
      <c r="G268" s="18">
        <f>187+11095</f>
        <v>11282</v>
      </c>
      <c r="H268" s="18"/>
      <c r="I268" s="18">
        <f>389+3769+250+430</f>
        <v>4838</v>
      </c>
      <c r="J268" s="18">
        <v>9745</v>
      </c>
      <c r="K268" s="18">
        <v>3193</v>
      </c>
      <c r="L268" s="19">
        <f>SUM(F268:K268)</f>
        <v>90116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22606</v>
      </c>
      <c r="G269" s="18">
        <v>6114</v>
      </c>
      <c r="H269" s="18">
        <v>10129</v>
      </c>
      <c r="I269" s="18">
        <f>1412+4670</f>
        <v>6082</v>
      </c>
      <c r="J269" s="18">
        <v>14431</v>
      </c>
      <c r="K269" s="18"/>
      <c r="L269" s="19">
        <f>SUM(F269:K269)</f>
        <v>59362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>
        <v>920</v>
      </c>
      <c r="I271" s="18"/>
      <c r="J271" s="18"/>
      <c r="K271" s="18"/>
      <c r="L271" s="19">
        <f>SUM(F271:K271)</f>
        <v>920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29915</v>
      </c>
      <c r="G273" s="18">
        <v>11520</v>
      </c>
      <c r="H273" s="18">
        <f>30361+600</f>
        <v>30961</v>
      </c>
      <c r="I273" s="18">
        <f>360+733+393+4867</f>
        <v>6353</v>
      </c>
      <c r="J273" s="18"/>
      <c r="K273" s="18"/>
      <c r="L273" s="19">
        <f t="shared" ref="L273:L279" si="12">SUM(F273:K273)</f>
        <v>78749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367</v>
      </c>
      <c r="G274" s="18">
        <f>6384+14575</f>
        <v>20959</v>
      </c>
      <c r="H274" s="18">
        <v>2368</v>
      </c>
      <c r="I274" s="18">
        <v>1620</v>
      </c>
      <c r="J274" s="18"/>
      <c r="K274" s="18"/>
      <c r="L274" s="19">
        <f t="shared" si="12"/>
        <v>25314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10111</v>
      </c>
      <c r="G275" s="18">
        <v>2956</v>
      </c>
      <c r="H275" s="18">
        <f>2622+816</f>
        <v>3438</v>
      </c>
      <c r="I275" s="18">
        <v>845</v>
      </c>
      <c r="J275" s="18">
        <v>12662</v>
      </c>
      <c r="K275" s="18">
        <v>362</v>
      </c>
      <c r="L275" s="19">
        <f t="shared" si="12"/>
        <v>30374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f>495+125+405</f>
        <v>1025</v>
      </c>
      <c r="I279" s="18"/>
      <c r="J279" s="18"/>
      <c r="K279" s="18"/>
      <c r="L279" s="19">
        <f t="shared" si="12"/>
        <v>1025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124057</v>
      </c>
      <c r="G282" s="42">
        <f t="shared" si="13"/>
        <v>52831</v>
      </c>
      <c r="H282" s="42">
        <f t="shared" si="13"/>
        <v>48841</v>
      </c>
      <c r="I282" s="42">
        <f t="shared" si="13"/>
        <v>19738</v>
      </c>
      <c r="J282" s="42">
        <f t="shared" si="13"/>
        <v>36838</v>
      </c>
      <c r="K282" s="42">
        <f t="shared" si="13"/>
        <v>3555</v>
      </c>
      <c r="L282" s="41">
        <f t="shared" si="13"/>
        <v>285860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7545+59602+1455</f>
        <v>68602</v>
      </c>
      <c r="G287" s="18">
        <f>11282+1104</f>
        <v>12386</v>
      </c>
      <c r="H287" s="18"/>
      <c r="I287" s="18">
        <f>3769+389+238+250+430</f>
        <v>5076</v>
      </c>
      <c r="J287" s="18">
        <v>9745</v>
      </c>
      <c r="K287" s="18">
        <v>3193</v>
      </c>
      <c r="L287" s="19">
        <f>SUM(F287:K287)</f>
        <v>99002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22606</v>
      </c>
      <c r="G288" s="18">
        <v>6114</v>
      </c>
      <c r="H288" s="18">
        <v>10129</v>
      </c>
      <c r="I288" s="18">
        <v>1412</v>
      </c>
      <c r="J288" s="18">
        <v>14431</v>
      </c>
      <c r="K288" s="18"/>
      <c r="L288" s="19">
        <f>SUM(F288:K288)</f>
        <v>54692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>
        <v>920</v>
      </c>
      <c r="I290" s="18"/>
      <c r="J290" s="18"/>
      <c r="K290" s="18"/>
      <c r="L290" s="19">
        <f>SUM(F290:K290)</f>
        <v>920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29915</v>
      </c>
      <c r="G292" s="18">
        <v>11520</v>
      </c>
      <c r="H292" s="18">
        <f>30361+600</f>
        <v>30961</v>
      </c>
      <c r="I292" s="18">
        <f>393+733+360</f>
        <v>1486</v>
      </c>
      <c r="J292" s="18"/>
      <c r="K292" s="18"/>
      <c r="L292" s="19">
        <f t="shared" ref="L292:L298" si="14">SUM(F292:K292)</f>
        <v>73882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367</v>
      </c>
      <c r="G293" s="18">
        <v>20959</v>
      </c>
      <c r="H293" s="18">
        <f>2368+2500</f>
        <v>4868</v>
      </c>
      <c r="I293" s="18">
        <f>1620+230</f>
        <v>1850</v>
      </c>
      <c r="J293" s="18"/>
      <c r="K293" s="18"/>
      <c r="L293" s="19">
        <f t="shared" si="14"/>
        <v>28044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10111</v>
      </c>
      <c r="G294" s="18">
        <v>2956</v>
      </c>
      <c r="H294" s="18">
        <f>2622+816</f>
        <v>3438</v>
      </c>
      <c r="I294" s="18">
        <v>845</v>
      </c>
      <c r="J294" s="18">
        <v>12662</v>
      </c>
      <c r="K294" s="18">
        <v>362</v>
      </c>
      <c r="L294" s="19">
        <f t="shared" si="14"/>
        <v>30374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>
        <f>495+1204+125+405</f>
        <v>2229</v>
      </c>
      <c r="I298" s="18"/>
      <c r="J298" s="18"/>
      <c r="K298" s="18"/>
      <c r="L298" s="19">
        <f t="shared" si="14"/>
        <v>2229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131601</v>
      </c>
      <c r="G301" s="42">
        <f t="shared" si="15"/>
        <v>53935</v>
      </c>
      <c r="H301" s="42">
        <f t="shared" si="15"/>
        <v>52545</v>
      </c>
      <c r="I301" s="42">
        <f t="shared" si="15"/>
        <v>10669</v>
      </c>
      <c r="J301" s="42">
        <f t="shared" si="15"/>
        <v>36838</v>
      </c>
      <c r="K301" s="42">
        <f t="shared" si="15"/>
        <v>3555</v>
      </c>
      <c r="L301" s="41">
        <f t="shared" si="15"/>
        <v>289143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1456</v>
      </c>
      <c r="G306" s="18">
        <v>187</v>
      </c>
      <c r="H306" s="18"/>
      <c r="I306" s="18">
        <v>389</v>
      </c>
      <c r="J306" s="18">
        <v>9745</v>
      </c>
      <c r="K306" s="18"/>
      <c r="L306" s="19">
        <f>SUM(F306:K306)</f>
        <v>11777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22606</v>
      </c>
      <c r="G307" s="18">
        <v>6114</v>
      </c>
      <c r="H307" s="18">
        <v>10129</v>
      </c>
      <c r="I307" s="18">
        <v>1412</v>
      </c>
      <c r="J307" s="18">
        <v>14431</v>
      </c>
      <c r="K307" s="18"/>
      <c r="L307" s="19">
        <f>SUM(F307:K307)</f>
        <v>54692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>
        <v>9731</v>
      </c>
      <c r="I308" s="18"/>
      <c r="J308" s="18"/>
      <c r="K308" s="18"/>
      <c r="L308" s="19">
        <f>SUM(F308:K308)</f>
        <v>9731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>
        <v>920</v>
      </c>
      <c r="I309" s="18"/>
      <c r="J309" s="18"/>
      <c r="K309" s="18"/>
      <c r="L309" s="19">
        <f>SUM(F309:K309)</f>
        <v>920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29915</v>
      </c>
      <c r="G311" s="18">
        <v>11520</v>
      </c>
      <c r="H311" s="18">
        <v>30961</v>
      </c>
      <c r="I311" s="18">
        <v>1093</v>
      </c>
      <c r="J311" s="18"/>
      <c r="K311" s="18"/>
      <c r="L311" s="19">
        <f t="shared" ref="L311:L317" si="16">SUM(F311:K311)</f>
        <v>73489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367</v>
      </c>
      <c r="G312" s="18">
        <v>6384</v>
      </c>
      <c r="H312" s="18">
        <v>2368</v>
      </c>
      <c r="I312" s="18">
        <v>1620</v>
      </c>
      <c r="J312" s="18"/>
      <c r="K312" s="18">
        <v>4981</v>
      </c>
      <c r="L312" s="19">
        <f t="shared" si="16"/>
        <v>15720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54344</v>
      </c>
      <c r="G320" s="42">
        <f t="shared" si="17"/>
        <v>24205</v>
      </c>
      <c r="H320" s="42">
        <f t="shared" si="17"/>
        <v>54109</v>
      </c>
      <c r="I320" s="42">
        <f t="shared" si="17"/>
        <v>4514</v>
      </c>
      <c r="J320" s="42">
        <f t="shared" si="17"/>
        <v>24176</v>
      </c>
      <c r="K320" s="42">
        <f t="shared" si="17"/>
        <v>4981</v>
      </c>
      <c r="L320" s="41">
        <f t="shared" si="17"/>
        <v>166329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310002</v>
      </c>
      <c r="G330" s="41">
        <f t="shared" si="20"/>
        <v>130971</v>
      </c>
      <c r="H330" s="41">
        <f t="shared" si="20"/>
        <v>155495</v>
      </c>
      <c r="I330" s="41">
        <f t="shared" si="20"/>
        <v>34921</v>
      </c>
      <c r="J330" s="41">
        <f t="shared" si="20"/>
        <v>97852</v>
      </c>
      <c r="K330" s="41">
        <f t="shared" si="20"/>
        <v>12091</v>
      </c>
      <c r="L330" s="41">
        <f t="shared" si="20"/>
        <v>741332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f>10931+538</f>
        <v>11469</v>
      </c>
      <c r="L336" s="19">
        <f t="shared" ref="L336:L342" si="21">SUM(F336:K336)</f>
        <v>11469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11469</v>
      </c>
      <c r="L343" s="41">
        <f>SUM(L333:L342)</f>
        <v>11469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310002</v>
      </c>
      <c r="G344" s="41">
        <f>G330</f>
        <v>130971</v>
      </c>
      <c r="H344" s="41">
        <f>H330</f>
        <v>155495</v>
      </c>
      <c r="I344" s="41">
        <f>I330</f>
        <v>34921</v>
      </c>
      <c r="J344" s="41">
        <f>J330</f>
        <v>97852</v>
      </c>
      <c r="K344" s="47">
        <f>K330+K343</f>
        <v>23560</v>
      </c>
      <c r="L344" s="41">
        <f>L330+L343</f>
        <v>752801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v>126912</v>
      </c>
      <c r="I350" s="18"/>
      <c r="J350" s="18">
        <v>1368</v>
      </c>
      <c r="K350" s="18"/>
      <c r="L350" s="13">
        <f>SUM(F350:K350)</f>
        <v>128280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>
        <v>126912</v>
      </c>
      <c r="I351" s="18"/>
      <c r="J351" s="18">
        <v>1368</v>
      </c>
      <c r="K351" s="18"/>
      <c r="L351" s="19">
        <f>SUM(F351:K351)</f>
        <v>128280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>
        <v>126912</v>
      </c>
      <c r="I352" s="18"/>
      <c r="J352" s="18">
        <v>1368</v>
      </c>
      <c r="K352" s="18"/>
      <c r="L352" s="19">
        <f>SUM(F352:K352)</f>
        <v>128280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380736</v>
      </c>
      <c r="I354" s="47">
        <f t="shared" si="22"/>
        <v>0</v>
      </c>
      <c r="J354" s="47">
        <f t="shared" si="22"/>
        <v>4104</v>
      </c>
      <c r="K354" s="47">
        <f t="shared" si="22"/>
        <v>0</v>
      </c>
      <c r="L354" s="47">
        <f t="shared" si="22"/>
        <v>384840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>
        <v>305200</v>
      </c>
      <c r="K366" s="18"/>
      <c r="L366" s="13">
        <f>SUM(F366:K366)</f>
        <v>305200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>
        <f>1108429+211386</f>
        <v>1319815</v>
      </c>
      <c r="K370" s="18"/>
      <c r="L370" s="13">
        <f t="shared" si="23"/>
        <v>1319815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1625015</v>
      </c>
      <c r="K374" s="47">
        <f t="shared" si="24"/>
        <v>0</v>
      </c>
      <c r="L374" s="47">
        <f t="shared" si="24"/>
        <v>1625015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>
        <v>768234</v>
      </c>
      <c r="H380" s="18">
        <v>660</v>
      </c>
      <c r="I380" s="18"/>
      <c r="J380" s="24" t="s">
        <v>312</v>
      </c>
      <c r="K380" s="24" t="s">
        <v>312</v>
      </c>
      <c r="L380" s="56">
        <f t="shared" si="25"/>
        <v>768894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505</v>
      </c>
      <c r="I381" s="18"/>
      <c r="J381" s="24" t="s">
        <v>312</v>
      </c>
      <c r="K381" s="24" t="s">
        <v>312</v>
      </c>
      <c r="L381" s="56">
        <f t="shared" si="25"/>
        <v>505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768234</v>
      </c>
      <c r="H385" s="139">
        <f>SUM(H379:H384)</f>
        <v>1165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769399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768234</v>
      </c>
      <c r="H400" s="47">
        <f>H385+H393+H399</f>
        <v>1165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769399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>
        <f>774657-5763</f>
        <v>768894</v>
      </c>
      <c r="L406" s="56">
        <f t="shared" si="27"/>
        <v>768894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v>8002</v>
      </c>
      <c r="L407" s="56">
        <f t="shared" si="27"/>
        <v>8002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776896</v>
      </c>
      <c r="L411" s="47">
        <f t="shared" si="28"/>
        <v>776896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776896</v>
      </c>
      <c r="L426" s="47">
        <f t="shared" si="32"/>
        <v>776896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89844</v>
      </c>
      <c r="G434" s="18"/>
      <c r="H434" s="18"/>
      <c r="I434" s="56">
        <f t="shared" si="33"/>
        <v>89844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89844</v>
      </c>
      <c r="G438" s="13">
        <f>SUM(G431:G437)</f>
        <v>0</v>
      </c>
      <c r="H438" s="13">
        <f>SUM(H431:H437)</f>
        <v>0</v>
      </c>
      <c r="I438" s="13">
        <f>SUM(I431:I437)</f>
        <v>89844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89844</v>
      </c>
      <c r="G449" s="18"/>
      <c r="H449" s="18"/>
      <c r="I449" s="56">
        <f>SUM(F449:H449)</f>
        <v>89844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89844</v>
      </c>
      <c r="G450" s="83">
        <f>SUM(G446:G449)</f>
        <v>0</v>
      </c>
      <c r="H450" s="83">
        <f>SUM(H446:H449)</f>
        <v>0</v>
      </c>
      <c r="I450" s="83">
        <f>SUM(I446:I449)</f>
        <v>89844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89844</v>
      </c>
      <c r="G451" s="42">
        <f>G444+G450</f>
        <v>0</v>
      </c>
      <c r="H451" s="42">
        <f>H444+H450</f>
        <v>0</v>
      </c>
      <c r="I451" s="42">
        <f>I444+I450</f>
        <v>89844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364382</v>
      </c>
      <c r="G455" s="18">
        <v>9438</v>
      </c>
      <c r="H455" s="18">
        <v>0</v>
      </c>
      <c r="I455" s="18">
        <v>0</v>
      </c>
      <c r="J455" s="18">
        <v>105818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17029809</v>
      </c>
      <c r="G458" s="18">
        <f>G185</f>
        <v>383676</v>
      </c>
      <c r="H458" s="18">
        <f>+H185</f>
        <v>782254</v>
      </c>
      <c r="I458" s="18">
        <f>I185</f>
        <v>24305275</v>
      </c>
      <c r="J458" s="18">
        <f>J185</f>
        <v>769399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>
        <f>10753-8274</f>
        <v>2479</v>
      </c>
      <c r="H459" s="18">
        <f>31561-31554+12695</f>
        <v>12702</v>
      </c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17029809</v>
      </c>
      <c r="G460" s="53">
        <f>SUM(G458:G459)</f>
        <v>386155</v>
      </c>
      <c r="H460" s="53">
        <f>SUM(H458:H459)</f>
        <v>794956</v>
      </c>
      <c r="I460" s="53">
        <f>SUM(I458:I459)</f>
        <v>24305275</v>
      </c>
      <c r="J460" s="53">
        <f>SUM(J458:J459)</f>
        <v>769399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15734615</v>
      </c>
      <c r="G462" s="18">
        <f>L354</f>
        <v>384840</v>
      </c>
      <c r="H462" s="18">
        <f>L344</f>
        <v>752801</v>
      </c>
      <c r="I462" s="18">
        <f>L374</f>
        <v>1625015</v>
      </c>
      <c r="J462" s="18">
        <f>L426</f>
        <v>776896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f>1659576-1566117</f>
        <v>93459</v>
      </c>
      <c r="G463" s="18"/>
      <c r="H463" s="18"/>
      <c r="I463" s="18"/>
      <c r="J463" s="18">
        <f>98321-89844</f>
        <v>8477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15828074</v>
      </c>
      <c r="G464" s="53">
        <f>SUM(G462:G463)</f>
        <v>384840</v>
      </c>
      <c r="H464" s="53">
        <f>SUM(H462:H463)</f>
        <v>752801</v>
      </c>
      <c r="I464" s="53">
        <f>SUM(I462:I463)</f>
        <v>1625015</v>
      </c>
      <c r="J464" s="53">
        <f>SUM(J462:J463)</f>
        <v>785373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1566117</v>
      </c>
      <c r="G466" s="53">
        <f>(G455+G460)- G464</f>
        <v>10753</v>
      </c>
      <c r="H466" s="53">
        <f>(H455+H460)- H464</f>
        <v>42155</v>
      </c>
      <c r="I466" s="53">
        <f>(I455+I460)- I464</f>
        <v>22680260</v>
      </c>
      <c r="J466" s="53">
        <f>(J455+J460)- J464</f>
        <v>89844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896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897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16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23623315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5.39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0</v>
      </c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23623315</v>
      </c>
      <c r="G486" s="18"/>
      <c r="H486" s="18"/>
      <c r="I486" s="18"/>
      <c r="J486" s="18"/>
      <c r="K486" s="53">
        <f t="shared" ref="K486:K493" si="34">SUM(F486:J486)</f>
        <v>23623315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0</v>
      </c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23623315</v>
      </c>
      <c r="G488" s="205"/>
      <c r="H488" s="205"/>
      <c r="I488" s="205"/>
      <c r="J488" s="205"/>
      <c r="K488" s="206">
        <f t="shared" si="34"/>
        <v>23623315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11084021</v>
      </c>
      <c r="G489" s="18"/>
      <c r="H489" s="18"/>
      <c r="I489" s="18"/>
      <c r="J489" s="18"/>
      <c r="K489" s="53">
        <f t="shared" si="34"/>
        <v>11084021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34707336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34707336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0</v>
      </c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905455</v>
      </c>
      <c r="G492" s="18"/>
      <c r="H492" s="18"/>
      <c r="I492" s="18"/>
      <c r="J492" s="18"/>
      <c r="K492" s="53">
        <f t="shared" si="34"/>
        <v>905455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905455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905455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113557+95172+2550+2923+114685+89583+2550+5939</f>
        <v>426959</v>
      </c>
      <c r="G511" s="18">
        <f>16875+24194+9211+730+566+7243+198+114+20+21+16186+29864+7422+775+588+6824+893+895+694+618</f>
        <v>123931</v>
      </c>
      <c r="H511" s="18">
        <f>10725+83+1287+71139+9511</f>
        <v>92745</v>
      </c>
      <c r="I511" s="18">
        <f>238+596+1333+671+178+157+225+78+386</f>
        <v>3862</v>
      </c>
      <c r="J511" s="18">
        <f>1878+1679+927+270</f>
        <v>4754</v>
      </c>
      <c r="K511" s="18"/>
      <c r="L511" s="88">
        <f>SUM(F511:K511)</f>
        <v>652251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141685+224003+4731+5939</f>
        <v>376358</v>
      </c>
      <c r="G512" s="18">
        <f>27883+66809+10611+1020+981+16685+1014+1282+900</f>
        <v>127185</v>
      </c>
      <c r="H512" s="18">
        <f>286+2745+2121+110205+616</f>
        <v>115973</v>
      </c>
      <c r="I512" s="18">
        <f>1070+1333+620+748+78+2031</f>
        <v>5880</v>
      </c>
      <c r="J512" s="18">
        <f>3566+590</f>
        <v>4156</v>
      </c>
      <c r="K512" s="18"/>
      <c r="L512" s="88">
        <f>SUM(F512:K512)</f>
        <v>629552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93633+167211+1496+5939</f>
        <v>268279</v>
      </c>
      <c r="G513" s="18">
        <f>19491+67091+7325+752+755+12527+808+925+195</f>
        <v>109869</v>
      </c>
      <c r="H513" s="18">
        <f>170+126715+290288+104+7251</f>
        <v>424528</v>
      </c>
      <c r="I513" s="18">
        <f>1277+1333+1501+52+78</f>
        <v>4241</v>
      </c>
      <c r="J513" s="18">
        <f>13+10392</f>
        <v>10405</v>
      </c>
      <c r="K513" s="18"/>
      <c r="L513" s="88">
        <f>SUM(F513:K513)</f>
        <v>817322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1071596</v>
      </c>
      <c r="G514" s="108">
        <f t="shared" ref="G514:L514" si="35">SUM(G511:G513)</f>
        <v>360985</v>
      </c>
      <c r="H514" s="108">
        <f t="shared" si="35"/>
        <v>633246</v>
      </c>
      <c r="I514" s="108">
        <f t="shared" si="35"/>
        <v>13983</v>
      </c>
      <c r="J514" s="108">
        <f t="shared" si="35"/>
        <v>19315</v>
      </c>
      <c r="K514" s="108">
        <f t="shared" si="35"/>
        <v>0</v>
      </c>
      <c r="L514" s="89">
        <f t="shared" si="35"/>
        <v>2099125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11660+24991+24991+29915</f>
        <v>91557</v>
      </c>
      <c r="G516" s="18">
        <f>79+1854+1872+1854+4551+329+29+62+1872+33+85+4668+345+30+62+33+85+17802</f>
        <v>35645</v>
      </c>
      <c r="H516" s="18">
        <f>40+20224+2650+30857+184</f>
        <v>53955</v>
      </c>
      <c r="I516" s="18">
        <f>836+733</f>
        <v>1569</v>
      </c>
      <c r="J516" s="18">
        <f>83</f>
        <v>83</v>
      </c>
      <c r="K516" s="18"/>
      <c r="L516" s="88">
        <f>SUM(F516:K516)</f>
        <v>182809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11660+24991+29915</f>
        <v>66566</v>
      </c>
      <c r="G517" s="18">
        <f>79+1854+4797+362+30+62+1872+33+85+17802</f>
        <v>26976</v>
      </c>
      <c r="H517" s="18">
        <f>3432+30857+184</f>
        <v>34473</v>
      </c>
      <c r="I517" s="18">
        <f>836+146+733</f>
        <v>1715</v>
      </c>
      <c r="J517" s="18">
        <v>83</v>
      </c>
      <c r="K517" s="18"/>
      <c r="L517" s="88">
        <f>SUM(F517:K517)</f>
        <v>129813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11660+24991+29915</f>
        <v>66566</v>
      </c>
      <c r="G518" s="18">
        <f>79+1854+4797+349+30+61+1872+33+85+17802</f>
        <v>26962</v>
      </c>
      <c r="H518" s="18">
        <f>4963+30857+184</f>
        <v>36004</v>
      </c>
      <c r="I518" s="18">
        <f>836+107+733</f>
        <v>1676</v>
      </c>
      <c r="J518" s="18">
        <v>83</v>
      </c>
      <c r="K518" s="18"/>
      <c r="L518" s="88">
        <f>SUM(F518:K518)</f>
        <v>131291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224689</v>
      </c>
      <c r="G519" s="89">
        <f t="shared" ref="G519:L519" si="36">SUM(G516:G518)</f>
        <v>89583</v>
      </c>
      <c r="H519" s="89">
        <f t="shared" si="36"/>
        <v>124432</v>
      </c>
      <c r="I519" s="89">
        <f t="shared" si="36"/>
        <v>4960</v>
      </c>
      <c r="J519" s="89">
        <f t="shared" si="36"/>
        <v>249</v>
      </c>
      <c r="K519" s="89">
        <f t="shared" si="36"/>
        <v>0</v>
      </c>
      <c r="L519" s="89">
        <f t="shared" si="36"/>
        <v>443913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38149</v>
      </c>
      <c r="G521" s="18">
        <v>18313</v>
      </c>
      <c r="H521" s="18">
        <f>4595+12+79+53</f>
        <v>4739</v>
      </c>
      <c r="I521" s="18">
        <v>642</v>
      </c>
      <c r="J521" s="18">
        <f>491+91+150+147+27</f>
        <v>906</v>
      </c>
      <c r="K521" s="18">
        <v>2161</v>
      </c>
      <c r="L521" s="88">
        <f>SUM(F521:K521)</f>
        <v>64910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38149</v>
      </c>
      <c r="G522" s="18">
        <v>18313</v>
      </c>
      <c r="H522" s="18">
        <f>4595+12+79+53</f>
        <v>4739</v>
      </c>
      <c r="I522" s="18">
        <v>642</v>
      </c>
      <c r="J522" s="18">
        <f>491+91+150+147+27</f>
        <v>906</v>
      </c>
      <c r="K522" s="18">
        <v>2161</v>
      </c>
      <c r="L522" s="88">
        <f>SUM(F522:K522)</f>
        <v>64910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38149</v>
      </c>
      <c r="G523" s="18">
        <v>18313</v>
      </c>
      <c r="H523" s="18">
        <f>4595+12+79+53</f>
        <v>4739</v>
      </c>
      <c r="I523" s="18">
        <v>642</v>
      </c>
      <c r="J523" s="18">
        <f>491+91+150+147+27</f>
        <v>906</v>
      </c>
      <c r="K523" s="18">
        <v>2161</v>
      </c>
      <c r="L523" s="88">
        <f>SUM(F523:K523)</f>
        <v>64910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114447</v>
      </c>
      <c r="G524" s="89">
        <f t="shared" ref="G524:L524" si="37">SUM(G521:G523)</f>
        <v>54939</v>
      </c>
      <c r="H524" s="89">
        <f t="shared" si="37"/>
        <v>14217</v>
      </c>
      <c r="I524" s="89">
        <f t="shared" si="37"/>
        <v>1926</v>
      </c>
      <c r="J524" s="89">
        <f t="shared" si="37"/>
        <v>2718</v>
      </c>
      <c r="K524" s="89">
        <f t="shared" si="37"/>
        <v>6483</v>
      </c>
      <c r="L524" s="89">
        <f t="shared" si="37"/>
        <v>194730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213</v>
      </c>
      <c r="I526" s="18"/>
      <c r="J526" s="18"/>
      <c r="K526" s="18"/>
      <c r="L526" s="88">
        <f>SUM(F526:K526)</f>
        <v>213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107</v>
      </c>
      <c r="I527" s="18"/>
      <c r="J527" s="18"/>
      <c r="K527" s="18"/>
      <c r="L527" s="88">
        <f>SUM(F527:K527)</f>
        <v>107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207</v>
      </c>
      <c r="I528" s="18"/>
      <c r="J528" s="18"/>
      <c r="K528" s="18"/>
      <c r="L528" s="88">
        <f>SUM(F528:K528)</f>
        <v>207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527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527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28996+30695+13896</f>
        <v>73587</v>
      </c>
      <c r="I531" s="18"/>
      <c r="J531" s="18"/>
      <c r="K531" s="18"/>
      <c r="L531" s="88">
        <f>SUM(F531:K531)</f>
        <v>73587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f>72727</f>
        <v>72727</v>
      </c>
      <c r="I532" s="18"/>
      <c r="J532" s="18"/>
      <c r="K532" s="18"/>
      <c r="L532" s="88">
        <f>SUM(F532:K532)</f>
        <v>72727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f>182240</f>
        <v>182240</v>
      </c>
      <c r="I533" s="18"/>
      <c r="J533" s="18"/>
      <c r="K533" s="18"/>
      <c r="L533" s="88">
        <f>SUM(F533:K533)</f>
        <v>182240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328554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328554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1410732</v>
      </c>
      <c r="G535" s="89">
        <f t="shared" ref="G535:L535" si="40">G514+G519+G524+G529+G534</f>
        <v>505507</v>
      </c>
      <c r="H535" s="89">
        <f t="shared" si="40"/>
        <v>1100976</v>
      </c>
      <c r="I535" s="89">
        <f t="shared" si="40"/>
        <v>20869</v>
      </c>
      <c r="J535" s="89">
        <f t="shared" si="40"/>
        <v>22282</v>
      </c>
      <c r="K535" s="89">
        <f t="shared" si="40"/>
        <v>6483</v>
      </c>
      <c r="L535" s="89">
        <f t="shared" si="40"/>
        <v>3066849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652251</v>
      </c>
      <c r="G539" s="87">
        <f>L516</f>
        <v>182809</v>
      </c>
      <c r="H539" s="87">
        <f>L521</f>
        <v>64910</v>
      </c>
      <c r="I539" s="87">
        <f>L526</f>
        <v>213</v>
      </c>
      <c r="J539" s="87">
        <f>L531</f>
        <v>73587</v>
      </c>
      <c r="K539" s="87">
        <f>SUM(F539:J539)</f>
        <v>973770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629552</v>
      </c>
      <c r="G540" s="87">
        <f>L517</f>
        <v>129813</v>
      </c>
      <c r="H540" s="87">
        <f>L522</f>
        <v>64910</v>
      </c>
      <c r="I540" s="87">
        <f>L527</f>
        <v>107</v>
      </c>
      <c r="J540" s="87">
        <f>L532</f>
        <v>72727</v>
      </c>
      <c r="K540" s="87">
        <f>SUM(F540:J540)</f>
        <v>897109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817322</v>
      </c>
      <c r="G541" s="87">
        <f>L518</f>
        <v>131291</v>
      </c>
      <c r="H541" s="87">
        <f>L523</f>
        <v>64910</v>
      </c>
      <c r="I541" s="87">
        <f>L528</f>
        <v>207</v>
      </c>
      <c r="J541" s="87">
        <f>L533</f>
        <v>182240</v>
      </c>
      <c r="K541" s="87">
        <f>SUM(F541:J541)</f>
        <v>1195970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2099125</v>
      </c>
      <c r="G542" s="89">
        <f t="shared" si="41"/>
        <v>443913</v>
      </c>
      <c r="H542" s="89">
        <f t="shared" si="41"/>
        <v>194730</v>
      </c>
      <c r="I542" s="89">
        <f t="shared" si="41"/>
        <v>527</v>
      </c>
      <c r="J542" s="89">
        <f t="shared" si="41"/>
        <v>328554</v>
      </c>
      <c r="K542" s="89">
        <f t="shared" si="41"/>
        <v>3066849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f>4915+396</f>
        <v>5311</v>
      </c>
      <c r="G552" s="18"/>
      <c r="H552" s="18"/>
      <c r="I552" s="18"/>
      <c r="J552" s="18"/>
      <c r="K552" s="18"/>
      <c r="L552" s="88">
        <f>SUM(F552:K552)</f>
        <v>5311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>
        <f>33+41</f>
        <v>74</v>
      </c>
      <c r="H553" s="18"/>
      <c r="I553" s="18"/>
      <c r="J553" s="18"/>
      <c r="K553" s="18"/>
      <c r="L553" s="88">
        <f>SUM(F553:K553)</f>
        <v>74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14957</v>
      </c>
      <c r="G554" s="18">
        <f>40+33</f>
        <v>73</v>
      </c>
      <c r="H554" s="18"/>
      <c r="I554" s="18"/>
      <c r="J554" s="18"/>
      <c r="K554" s="18"/>
      <c r="L554" s="88">
        <f>SUM(F554:K554)</f>
        <v>15030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20268</v>
      </c>
      <c r="G555" s="89">
        <f t="shared" si="43"/>
        <v>147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20415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20268</v>
      </c>
      <c r="G561" s="89">
        <f t="shared" ref="G561:L561" si="45">G550+G555+G560</f>
        <v>147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20415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1518</v>
      </c>
      <c r="I565" s="87">
        <f>SUM(F565:H565)</f>
        <v>1518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f>10726+71139</f>
        <v>81865</v>
      </c>
      <c r="G569" s="18">
        <v>2737</v>
      </c>
      <c r="H569" s="18">
        <v>126715</v>
      </c>
      <c r="I569" s="87">
        <f t="shared" si="46"/>
        <v>211317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f>1287</f>
        <v>1287</v>
      </c>
      <c r="G570" s="18"/>
      <c r="H570" s="18"/>
      <c r="I570" s="87">
        <f t="shared" si="46"/>
        <v>1287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9511</f>
        <v>9511</v>
      </c>
      <c r="G572" s="18">
        <v>110205</v>
      </c>
      <c r="H572" s="18">
        <v>297643</v>
      </c>
      <c r="I572" s="87">
        <f t="shared" si="46"/>
        <v>417359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25945</v>
      </c>
      <c r="I574" s="87">
        <f t="shared" si="46"/>
        <v>25945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190748</v>
      </c>
      <c r="I581" s="18">
        <v>95777</v>
      </c>
      <c r="J581" s="18">
        <v>95947</v>
      </c>
      <c r="K581" s="104">
        <f t="shared" ref="K581:K587" si="47">SUM(H581:J581)</f>
        <v>382472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44591+28996</f>
        <v>73587</v>
      </c>
      <c r="I582" s="18">
        <v>72727</v>
      </c>
      <c r="J582" s="18">
        <v>182240</v>
      </c>
      <c r="K582" s="104">
        <f t="shared" si="47"/>
        <v>328554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59735</v>
      </c>
      <c r="K583" s="104">
        <f t="shared" si="47"/>
        <v>59735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7976</v>
      </c>
      <c r="I584" s="18">
        <v>11085</v>
      </c>
      <c r="J584" s="18">
        <v>51736</v>
      </c>
      <c r="K584" s="104">
        <f t="shared" si="47"/>
        <v>70797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>
        <v>3915</v>
      </c>
      <c r="J585" s="18">
        <v>5615</v>
      </c>
      <c r="K585" s="104">
        <f t="shared" si="47"/>
        <v>9530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272311</v>
      </c>
      <c r="I588" s="108">
        <f>SUM(I581:I587)</f>
        <v>183504</v>
      </c>
      <c r="J588" s="108">
        <f>SUM(J581:J587)</f>
        <v>395273</v>
      </c>
      <c r="K588" s="108">
        <f>SUM(K581:K587)</f>
        <v>851088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227078</v>
      </c>
      <c r="I593" s="18"/>
      <c r="J593" s="18"/>
      <c r="K593" s="104">
        <f>SUM(H593:J593)</f>
        <v>227078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357157-227078</f>
        <v>130079</v>
      </c>
      <c r="I594" s="18">
        <v>120070</v>
      </c>
      <c r="J594" s="18">
        <v>185021</v>
      </c>
      <c r="K594" s="104">
        <f>SUM(H594:J594)</f>
        <v>435170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357157</v>
      </c>
      <c r="I595" s="108">
        <f>SUM(I592:I594)</f>
        <v>120070</v>
      </c>
      <c r="J595" s="108">
        <f>SUM(J592:J594)</f>
        <v>185021</v>
      </c>
      <c r="K595" s="108">
        <f>SUM(K592:K594)</f>
        <v>662248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4800</v>
      </c>
      <c r="G602" s="18">
        <v>778</v>
      </c>
      <c r="H602" s="18"/>
      <c r="I602" s="18"/>
      <c r="J602" s="18"/>
      <c r="K602" s="18"/>
      <c r="L602" s="88">
        <f>SUM(F602:K602)</f>
        <v>5578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4800</v>
      </c>
      <c r="G604" s="108">
        <f t="shared" si="48"/>
        <v>778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5578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1633591</v>
      </c>
      <c r="H607" s="109">
        <f>SUM(F44)</f>
        <v>1633591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21330</v>
      </c>
      <c r="H608" s="109">
        <f>SUM(G44)</f>
        <v>21330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126676</v>
      </c>
      <c r="H609" s="109">
        <f>SUM(H44)</f>
        <v>126676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23264260</v>
      </c>
      <c r="H610" s="109">
        <f>SUM(I44)</f>
        <v>23264260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89844</v>
      </c>
      <c r="H611" s="109">
        <f>SUM(J44)</f>
        <v>89844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1566117</v>
      </c>
      <c r="H612" s="109">
        <f>F466</f>
        <v>1566117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10753</v>
      </c>
      <c r="H613" s="109">
        <f>G466</f>
        <v>10753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42155</v>
      </c>
      <c r="H614" s="109">
        <f>H466</f>
        <v>42155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22680260</v>
      </c>
      <c r="H615" s="109">
        <f>I466</f>
        <v>22680260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89844</v>
      </c>
      <c r="H616" s="109">
        <f>J466</f>
        <v>89844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17029809</v>
      </c>
      <c r="H617" s="104">
        <f>SUM(F458)</f>
        <v>17029809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383676</v>
      </c>
      <c r="H618" s="104">
        <f>SUM(G458)</f>
        <v>383676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782254</v>
      </c>
      <c r="H619" s="104">
        <f>SUM(H458)</f>
        <v>782254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24305275</v>
      </c>
      <c r="H620" s="104">
        <f>SUM(I458)</f>
        <v>24305275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769399</v>
      </c>
      <c r="H621" s="104">
        <f>SUM(J458)</f>
        <v>769399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15734615</v>
      </c>
      <c r="H622" s="104">
        <f>SUM(F462)</f>
        <v>15734615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752801</v>
      </c>
      <c r="H623" s="104">
        <f>SUM(H462)</f>
        <v>752801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384840</v>
      </c>
      <c r="H625" s="104">
        <f>SUM(G462)</f>
        <v>384840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1625015</v>
      </c>
      <c r="H626" s="104">
        <f>SUM(I462)</f>
        <v>1625015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769399</v>
      </c>
      <c r="H627" s="164">
        <f>SUM(J458)</f>
        <v>769399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776896</v>
      </c>
      <c r="H628" s="164">
        <f>SUM(J462)</f>
        <v>776896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89844</v>
      </c>
      <c r="H629" s="104">
        <f>SUM(F451)</f>
        <v>89844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89844</v>
      </c>
      <c r="H632" s="104">
        <f>SUM(I451)</f>
        <v>89844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1165</v>
      </c>
      <c r="H634" s="104">
        <f>H400</f>
        <v>1165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768234</v>
      </c>
      <c r="H635" s="104">
        <f>G400</f>
        <v>768234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769399</v>
      </c>
      <c r="H636" s="104">
        <f>L400</f>
        <v>769399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851088</v>
      </c>
      <c r="H637" s="104">
        <f>L200+L218+L236</f>
        <v>851088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662248</v>
      </c>
      <c r="H638" s="104">
        <f>(J249+J330)-(J247+J328)</f>
        <v>662248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272311</v>
      </c>
      <c r="H639" s="104">
        <f>H588</f>
        <v>272311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183504</v>
      </c>
      <c r="H640" s="104">
        <f>I588</f>
        <v>183504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395273</v>
      </c>
      <c r="H641" s="104">
        <f>J588</f>
        <v>395273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768234</v>
      </c>
      <c r="H645" s="104">
        <f>K258+K339</f>
        <v>768234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5502061</v>
      </c>
      <c r="G650" s="19">
        <f>(L221+L301+L351)</f>
        <v>4758163</v>
      </c>
      <c r="H650" s="19">
        <f>(L239+L320+L352)</f>
        <v>5791043</v>
      </c>
      <c r="I650" s="19">
        <f>SUM(F650:H650)</f>
        <v>16051267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76493</v>
      </c>
      <c r="G651" s="19">
        <f>(L351/IF(SUM(L350:L352)=0,1,SUM(L350:L352))*(SUM(G89:G102)))</f>
        <v>76493</v>
      </c>
      <c r="H651" s="19">
        <f>(L352/IF(SUM(L350:L352)=0,1,SUM(L350:L352))*(SUM(G89:G102)))</f>
        <v>76493</v>
      </c>
      <c r="I651" s="19">
        <f>SUM(F651:H651)</f>
        <v>229479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273336</v>
      </c>
      <c r="G652" s="19">
        <f>(L218+L298)-(J218+J298)</f>
        <v>185733</v>
      </c>
      <c r="H652" s="19">
        <f>(L236+L317)-(J236+J317)</f>
        <v>395273</v>
      </c>
      <c r="I652" s="19">
        <f>SUM(F652:H652)</f>
        <v>854342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449820</v>
      </c>
      <c r="G653" s="200">
        <f>SUM(G565:G577)+SUM(I592:I594)+L602</f>
        <v>238590</v>
      </c>
      <c r="H653" s="200">
        <f>SUM(H565:H577)+SUM(J592:J594)+L603</f>
        <v>636842</v>
      </c>
      <c r="I653" s="19">
        <f>SUM(F653:H653)</f>
        <v>1325252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4702412</v>
      </c>
      <c r="G654" s="19">
        <f>G650-SUM(G651:G653)</f>
        <v>4257347</v>
      </c>
      <c r="H654" s="19">
        <f>H650-SUM(H651:H653)</f>
        <v>4682435</v>
      </c>
      <c r="I654" s="19">
        <f>I650-SUM(I651:I653)</f>
        <v>13642194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410.76</v>
      </c>
      <c r="G655" s="249">
        <v>358.22</v>
      </c>
      <c r="H655" s="249">
        <v>414.94</v>
      </c>
      <c r="I655" s="19">
        <f>SUM(F655:H655)</f>
        <v>1183.92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11448.08</v>
      </c>
      <c r="G657" s="19">
        <f>ROUND(G654/G655,2)</f>
        <v>11884.73</v>
      </c>
      <c r="H657" s="19">
        <f>ROUND(H654/H655,2)</f>
        <v>11284.61</v>
      </c>
      <c r="I657" s="19">
        <f>ROUND(I654/I655,2)</f>
        <v>11522.9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6.47</v>
      </c>
      <c r="I660" s="19">
        <f>SUM(F660:H660)</f>
        <v>6.47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11448.08</v>
      </c>
      <c r="G662" s="19">
        <f>ROUND((G654+G659)/(G655+G660),2)</f>
        <v>11884.73</v>
      </c>
      <c r="H662" s="19">
        <f>ROUND((H654+H659)/(H655+H660),2)</f>
        <v>11111.35</v>
      </c>
      <c r="I662" s="19">
        <f>ROUND((I654+I659)/(I655+I660),2)</f>
        <v>11460.27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64609-7B3D-4490-BE12-8A983812957C}">
  <sheetPr>
    <tabColor indexed="20"/>
  </sheetPr>
  <dimension ref="A1:C52"/>
  <sheetViews>
    <sheetView topLeftCell="A28" workbookViewId="0">
      <selection activeCell="H643" sqref="H64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Mascenic Regional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4496476</v>
      </c>
      <c r="C9" s="230">
        <f>'DOE25'!G189+'DOE25'!G207+'DOE25'!G225+'DOE25'!G268+'DOE25'!G287+'DOE25'!G306</f>
        <v>1670388</v>
      </c>
    </row>
    <row r="10" spans="1:3" x14ac:dyDescent="0.2">
      <c r="A10" t="s">
        <v>813</v>
      </c>
      <c r="B10" s="241">
        <v>4196684</v>
      </c>
      <c r="C10" s="241">
        <v>1623613</v>
      </c>
    </row>
    <row r="11" spans="1:3" x14ac:dyDescent="0.2">
      <c r="A11" t="s">
        <v>814</v>
      </c>
      <c r="B11" s="241">
        <v>86639</v>
      </c>
      <c r="C11" s="241">
        <v>22125</v>
      </c>
    </row>
    <row r="12" spans="1:3" x14ac:dyDescent="0.2">
      <c r="A12" t="s">
        <v>815</v>
      </c>
      <c r="B12" s="241">
        <v>213153</v>
      </c>
      <c r="C12" s="241">
        <v>24650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4496476</v>
      </c>
      <c r="C13" s="232">
        <f>SUM(C10:C12)</f>
        <v>1670388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1141867</v>
      </c>
      <c r="C18" s="230">
        <f>'DOE25'!G190+'DOE25'!G208+'DOE25'!G226+'DOE25'!G269+'DOE25'!G288+'DOE25'!G307</f>
        <v>379472</v>
      </c>
    </row>
    <row r="19" spans="1:3" x14ac:dyDescent="0.2">
      <c r="A19" t="s">
        <v>813</v>
      </c>
      <c r="B19" s="241">
        <v>575970</v>
      </c>
      <c r="C19" s="241">
        <v>256033</v>
      </c>
    </row>
    <row r="20" spans="1:3" x14ac:dyDescent="0.2">
      <c r="A20" t="s">
        <v>814</v>
      </c>
      <c r="B20" s="241">
        <v>463560</v>
      </c>
      <c r="C20" s="241">
        <v>103058</v>
      </c>
    </row>
    <row r="21" spans="1:3" x14ac:dyDescent="0.2">
      <c r="A21" t="s">
        <v>815</v>
      </c>
      <c r="B21" s="241">
        <v>102337</v>
      </c>
      <c r="C21" s="241">
        <v>20381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1141867</v>
      </c>
      <c r="C22" s="232">
        <f>SUM(C19:C21)</f>
        <v>379472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146559</v>
      </c>
      <c r="C27" s="235">
        <f>'DOE25'!G191+'DOE25'!G209+'DOE25'!G227+'DOE25'!G270+'DOE25'!G289+'DOE25'!G308</f>
        <v>47527</v>
      </c>
    </row>
    <row r="28" spans="1:3" x14ac:dyDescent="0.2">
      <c r="A28" t="s">
        <v>813</v>
      </c>
      <c r="B28" s="241">
        <v>146559</v>
      </c>
      <c r="C28" s="241">
        <v>47527</v>
      </c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146559</v>
      </c>
      <c r="C31" s="232">
        <f>SUM(C28:C30)</f>
        <v>47527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94239</v>
      </c>
      <c r="C36" s="236">
        <f>'DOE25'!G192+'DOE25'!G210+'DOE25'!G228+'DOE25'!G271+'DOE25'!G290+'DOE25'!G309</f>
        <v>10716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94239</v>
      </c>
      <c r="C39" s="241">
        <v>10716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94239</v>
      </c>
      <c r="C40" s="232">
        <f>SUM(C37:C39)</f>
        <v>10716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941E-307B-408F-B440-C6F3CD05F53A}">
  <sheetPr>
    <tabColor indexed="11"/>
  </sheetPr>
  <dimension ref="A1:I51"/>
  <sheetViews>
    <sheetView workbookViewId="0">
      <pane ySplit="4" topLeftCell="A9" activePane="bottomLeft" state="frozen"/>
      <selection activeCell="H643" sqref="H643"/>
      <selection pane="bottomLeft" activeCell="H643" sqref="H64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Mascenic Regional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8956535</v>
      </c>
      <c r="D5" s="20">
        <f>SUM('DOE25'!L189:L192)+SUM('DOE25'!L207:L210)+SUM('DOE25'!L225:L228)-F5-G5</f>
        <v>8846196</v>
      </c>
      <c r="E5" s="244"/>
      <c r="F5" s="256">
        <f>SUM('DOE25'!J189:J192)+SUM('DOE25'!J207:J210)+SUM('DOE25'!J225:J228)</f>
        <v>96480</v>
      </c>
      <c r="G5" s="53">
        <f>SUM('DOE25'!K189:K192)+SUM('DOE25'!K207:K210)+SUM('DOE25'!K225:K228)</f>
        <v>13859</v>
      </c>
      <c r="H5" s="260"/>
    </row>
    <row r="6" spans="1:9" x14ac:dyDescent="0.2">
      <c r="A6" s="32">
        <v>2100</v>
      </c>
      <c r="B6" t="s">
        <v>835</v>
      </c>
      <c r="C6" s="246">
        <f t="shared" si="0"/>
        <v>896762</v>
      </c>
      <c r="D6" s="20">
        <f>'DOE25'!L194+'DOE25'!L212+'DOE25'!L230-F6-G6</f>
        <v>892192</v>
      </c>
      <c r="E6" s="244"/>
      <c r="F6" s="256">
        <f>'DOE25'!J194+'DOE25'!J212+'DOE25'!J230</f>
        <v>2893</v>
      </c>
      <c r="G6" s="53">
        <f>'DOE25'!K194+'DOE25'!K212+'DOE25'!K230</f>
        <v>1677</v>
      </c>
      <c r="H6" s="260"/>
    </row>
    <row r="7" spans="1:9" x14ac:dyDescent="0.2">
      <c r="A7" s="32">
        <v>2200</v>
      </c>
      <c r="B7" t="s">
        <v>868</v>
      </c>
      <c r="C7" s="246">
        <f t="shared" si="0"/>
        <v>461494</v>
      </c>
      <c r="D7" s="20">
        <f>'DOE25'!L195+'DOE25'!L213+'DOE25'!L231-F7-G7</f>
        <v>418689</v>
      </c>
      <c r="E7" s="244"/>
      <c r="F7" s="256">
        <f>'DOE25'!J195+'DOE25'!J213+'DOE25'!J231</f>
        <v>42630</v>
      </c>
      <c r="G7" s="53">
        <f>'DOE25'!K195+'DOE25'!K213+'DOE25'!K231</f>
        <v>175</v>
      </c>
      <c r="H7" s="260"/>
    </row>
    <row r="8" spans="1:9" x14ac:dyDescent="0.2">
      <c r="A8" s="32">
        <v>2300</v>
      </c>
      <c r="B8" t="s">
        <v>836</v>
      </c>
      <c r="C8" s="246">
        <f t="shared" si="0"/>
        <v>236471</v>
      </c>
      <c r="D8" s="244"/>
      <c r="E8" s="20">
        <f>'DOE25'!L196+'DOE25'!L214+'DOE25'!L232-F8-G8-D9-D11</f>
        <v>197266</v>
      </c>
      <c r="F8" s="256">
        <f>'DOE25'!J196+'DOE25'!J214+'DOE25'!J232</f>
        <v>18000</v>
      </c>
      <c r="G8" s="53">
        <f>'DOE25'!K196+'DOE25'!K214+'DOE25'!K232</f>
        <v>21205</v>
      </c>
      <c r="H8" s="260"/>
    </row>
    <row r="9" spans="1:9" x14ac:dyDescent="0.2">
      <c r="A9" s="32">
        <v>2310</v>
      </c>
      <c r="B9" t="s">
        <v>852</v>
      </c>
      <c r="C9" s="246">
        <f t="shared" si="0"/>
        <v>102567</v>
      </c>
      <c r="D9" s="245">
        <f>2282+1561+2577+58707+37440</f>
        <v>102567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21132</v>
      </c>
      <c r="D10" s="244"/>
      <c r="E10" s="245">
        <v>21132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234082</v>
      </c>
      <c r="D11" s="245">
        <v>234082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945604</v>
      </c>
      <c r="D12" s="20">
        <f>'DOE25'!L197+'DOE25'!L215+'DOE25'!L233-F12-G12</f>
        <v>931644</v>
      </c>
      <c r="E12" s="244"/>
      <c r="F12" s="256">
        <f>'DOE25'!J197+'DOE25'!J215+'DOE25'!J233</f>
        <v>1463</v>
      </c>
      <c r="G12" s="53">
        <f>'DOE25'!K197+'DOE25'!K215+'DOE25'!K233</f>
        <v>12497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288447</v>
      </c>
      <c r="D13" s="244"/>
      <c r="E13" s="20">
        <f>'DOE25'!L198+'DOE25'!L216+'DOE25'!L234-F13-G13</f>
        <v>276303</v>
      </c>
      <c r="F13" s="256">
        <f>'DOE25'!J198+'DOE25'!J216+'DOE25'!J234</f>
        <v>11736</v>
      </c>
      <c r="G13" s="53">
        <f>'DOE25'!K198+'DOE25'!K216+'DOE25'!K234</f>
        <v>408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1629338</v>
      </c>
      <c r="D14" s="20">
        <f>'DOE25'!L199+'DOE25'!L217+'DOE25'!L235-F14-G14</f>
        <v>1326733</v>
      </c>
      <c r="E14" s="244"/>
      <c r="F14" s="256">
        <f>'DOE25'!J199+'DOE25'!J217+'DOE25'!J235</f>
        <v>302605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851088</v>
      </c>
      <c r="D15" s="20">
        <f>'DOE25'!L200+'DOE25'!L218+'DOE25'!L236-F15-G15</f>
        <v>851088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322707</v>
      </c>
      <c r="D16" s="244"/>
      <c r="E16" s="20">
        <f>'DOE25'!L201+'DOE25'!L219+'DOE25'!L237-F16-G16</f>
        <v>190142</v>
      </c>
      <c r="F16" s="256">
        <f>'DOE25'!J201+'DOE25'!J219+'DOE25'!J237</f>
        <v>88589</v>
      </c>
      <c r="G16" s="53">
        <f>'DOE25'!K201+'DOE25'!K219+'DOE25'!K237</f>
        <v>43976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384840</v>
      </c>
      <c r="D29" s="20">
        <f>'DOE25'!L350+'DOE25'!L351+'DOE25'!L352-'DOE25'!I359-F29-G29</f>
        <v>380736</v>
      </c>
      <c r="E29" s="244"/>
      <c r="F29" s="256">
        <f>'DOE25'!J350+'DOE25'!J351+'DOE25'!J352</f>
        <v>4104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741332</v>
      </c>
      <c r="D31" s="20">
        <f>'DOE25'!L282+'DOE25'!L301+'DOE25'!L320+'DOE25'!L325+'DOE25'!L326+'DOE25'!L327-F31-G31</f>
        <v>631389</v>
      </c>
      <c r="E31" s="244"/>
      <c r="F31" s="256">
        <f>'DOE25'!J282+'DOE25'!J301+'DOE25'!J320+'DOE25'!J325+'DOE25'!J326+'DOE25'!J327</f>
        <v>97852</v>
      </c>
      <c r="G31" s="53">
        <f>'DOE25'!K282+'DOE25'!K301+'DOE25'!K320+'DOE25'!K325+'DOE25'!K326+'DOE25'!K327</f>
        <v>12091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14615316</v>
      </c>
      <c r="E33" s="247">
        <f>SUM(E5:E31)</f>
        <v>684843</v>
      </c>
      <c r="F33" s="247">
        <f>SUM(F5:F31)</f>
        <v>666352</v>
      </c>
      <c r="G33" s="247">
        <f>SUM(G5:G31)</f>
        <v>105888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684843</v>
      </c>
      <c r="E35" s="250"/>
    </row>
    <row r="36" spans="2:8" ht="12" thickTop="1" x14ac:dyDescent="0.2">
      <c r="B36" t="s">
        <v>849</v>
      </c>
      <c r="D36" s="20">
        <f>D33</f>
        <v>14615316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1912-1C6B-4BF2-9095-80CC9B275997}">
  <sheetPr transitionEvaluation="1" codeName="Sheet2">
    <tabColor indexed="10"/>
  </sheetPr>
  <dimension ref="A1:I156"/>
  <sheetViews>
    <sheetView zoomScale="75" workbookViewId="0">
      <pane ySplit="2" topLeftCell="A128" activePane="bottomLeft" state="frozen"/>
      <selection activeCell="H643" sqref="H643"/>
      <selection pane="bottomLeft" activeCell="H643" sqref="H643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Mascenic Regional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1481578</v>
      </c>
      <c r="D9" s="95">
        <f>'DOE25'!G9</f>
        <v>0</v>
      </c>
      <c r="E9" s="95">
        <f>'DOE25'!H9</f>
        <v>10594</v>
      </c>
      <c r="F9" s="95">
        <f>'DOE25'!I9</f>
        <v>23264260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92679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116082</v>
      </c>
      <c r="F13" s="95">
        <f>'DOE25'!I13</f>
        <v>0</v>
      </c>
      <c r="G13" s="95">
        <f>'DOE25'!J13</f>
        <v>89844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59334</v>
      </c>
      <c r="D14" s="95">
        <f>'DOE25'!G14</f>
        <v>18983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2347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1633591</v>
      </c>
      <c r="D19" s="41">
        <f>SUM(D9:D18)</f>
        <v>21330</v>
      </c>
      <c r="E19" s="41">
        <f>SUM(E9:E18)</f>
        <v>126676</v>
      </c>
      <c r="F19" s="41">
        <f>SUM(F9:F18)</f>
        <v>23264260</v>
      </c>
      <c r="G19" s="41">
        <f>SUM(G9:G18)</f>
        <v>89844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10577</v>
      </c>
      <c r="E22" s="95">
        <f>'DOE25'!H23</f>
        <v>82102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67474</v>
      </c>
      <c r="D24" s="95">
        <f>'DOE25'!G25</f>
        <v>0</v>
      </c>
      <c r="E24" s="95">
        <f>'DOE25'!H25</f>
        <v>2419</v>
      </c>
      <c r="F24" s="95">
        <f>'DOE25'!I25</f>
        <v>584000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67474</v>
      </c>
      <c r="D32" s="41">
        <f>SUM(D22:D31)</f>
        <v>10577</v>
      </c>
      <c r="E32" s="41">
        <f>SUM(E22:E31)</f>
        <v>84521</v>
      </c>
      <c r="F32" s="41">
        <f>SUM(F22:F31)</f>
        <v>584000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2347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8406</v>
      </c>
      <c r="E40" s="95">
        <f>'DOE25'!H41</f>
        <v>42155</v>
      </c>
      <c r="F40" s="95">
        <f>'DOE25'!I41</f>
        <v>22680260</v>
      </c>
      <c r="G40" s="95">
        <f>'DOE25'!J41</f>
        <v>89844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1566117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1566117</v>
      </c>
      <c r="D42" s="41">
        <f>SUM(D34:D41)</f>
        <v>10753</v>
      </c>
      <c r="E42" s="41">
        <f>SUM(E34:E41)</f>
        <v>42155</v>
      </c>
      <c r="F42" s="41">
        <f>SUM(F34:F41)</f>
        <v>22680260</v>
      </c>
      <c r="G42" s="41">
        <f>SUM(G34:G41)</f>
        <v>89844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1633591</v>
      </c>
      <c r="D43" s="41">
        <f>D42+D32</f>
        <v>21330</v>
      </c>
      <c r="E43" s="41">
        <f>E42+E32</f>
        <v>126676</v>
      </c>
      <c r="F43" s="41">
        <f>F42+F32</f>
        <v>23264260</v>
      </c>
      <c r="G43" s="41">
        <f>G42+G32</f>
        <v>89844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8128566</v>
      </c>
      <c r="D48" s="95">
        <f>'DOE25'!G52</f>
        <v>0</v>
      </c>
      <c r="E48" s="95">
        <f>'DOE25'!H52</f>
        <v>0</v>
      </c>
      <c r="F48" s="95">
        <f>'DOE25'!I52</f>
        <v>305000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367618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5930</v>
      </c>
      <c r="D51" s="95">
        <f>'DOE25'!G88</f>
        <v>0</v>
      </c>
      <c r="E51" s="95">
        <f>'DOE25'!H88</f>
        <v>0</v>
      </c>
      <c r="F51" s="95">
        <f>'DOE25'!I88</f>
        <v>275</v>
      </c>
      <c r="G51" s="95">
        <f>'DOE25'!J88</f>
        <v>1165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228223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113947</v>
      </c>
      <c r="D53" s="95">
        <f>SUM('DOE25'!G90:G102)</f>
        <v>1256</v>
      </c>
      <c r="E53" s="95">
        <f>SUM('DOE25'!H90:H102)</f>
        <v>12630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487495</v>
      </c>
      <c r="D54" s="130">
        <f>SUM(D49:D53)</f>
        <v>229479</v>
      </c>
      <c r="E54" s="130">
        <f>SUM(E49:E53)</f>
        <v>12630</v>
      </c>
      <c r="F54" s="130">
        <f>SUM(F49:F53)</f>
        <v>275</v>
      </c>
      <c r="G54" s="130">
        <f>SUM(G49:G53)</f>
        <v>1165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8616061</v>
      </c>
      <c r="D55" s="22">
        <f>D48+D54</f>
        <v>229479</v>
      </c>
      <c r="E55" s="22">
        <f>E48+E54</f>
        <v>12630</v>
      </c>
      <c r="F55" s="22">
        <f>F48+F54</f>
        <v>305275</v>
      </c>
      <c r="G55" s="22">
        <f>G48+G54</f>
        <v>1165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3895829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1253009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1494709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6643547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16057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151807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125925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169750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62046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14057</v>
      </c>
      <c r="D69" s="95">
        <f>SUM('DOE25'!G123:G127)</f>
        <v>4377</v>
      </c>
      <c r="E69" s="95">
        <f>SUM('DOE25'!H123:H127)</f>
        <v>4867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539642</v>
      </c>
      <c r="D70" s="130">
        <f>SUM(D64:D69)</f>
        <v>4377</v>
      </c>
      <c r="E70" s="130">
        <f>SUM(E64:E69)</f>
        <v>4867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7183189</v>
      </c>
      <c r="D73" s="130">
        <f>SUM(D71:D72)+D70+D62</f>
        <v>4377</v>
      </c>
      <c r="E73" s="130">
        <f>SUM(E71:E72)+E70+E62</f>
        <v>4867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62114</v>
      </c>
      <c r="D80" s="95">
        <f>SUM('DOE25'!G145:G153)</f>
        <v>149820</v>
      </c>
      <c r="E80" s="95">
        <f>SUM('DOE25'!H145:H153)</f>
        <v>764757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62114</v>
      </c>
      <c r="D83" s="131">
        <f>SUM(D77:D82)</f>
        <v>149820</v>
      </c>
      <c r="E83" s="131">
        <f>SUM(E77:E82)</f>
        <v>764757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23623315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768234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400211</v>
      </c>
      <c r="D91" s="95">
        <f>'DOE25'!G177</f>
        <v>0</v>
      </c>
      <c r="E91" s="95">
        <f>'DOE25'!H177</f>
        <v>0</v>
      </c>
      <c r="F91" s="95">
        <f>'DOE25'!I177</f>
        <v>376685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768234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1168445</v>
      </c>
      <c r="D95" s="86">
        <f>SUM(D85:D94)</f>
        <v>0</v>
      </c>
      <c r="E95" s="86">
        <f>SUM(E85:E94)</f>
        <v>0</v>
      </c>
      <c r="F95" s="86">
        <f>SUM(F85:F94)</f>
        <v>24000000</v>
      </c>
      <c r="G95" s="86">
        <f>SUM(G85:G94)</f>
        <v>768234</v>
      </c>
    </row>
    <row r="96" spans="1:7" ht="12.75" thickTop="1" thickBot="1" x14ac:dyDescent="0.25">
      <c r="A96" s="33" t="s">
        <v>797</v>
      </c>
      <c r="C96" s="86">
        <f>C55+C73+C83+C95</f>
        <v>17029809</v>
      </c>
      <c r="D96" s="86">
        <f>D55+D73+D83+D95</f>
        <v>383676</v>
      </c>
      <c r="E96" s="86">
        <f>E55+E73+E83+E95</f>
        <v>782254</v>
      </c>
      <c r="F96" s="86">
        <f>F55+F73+F83+F95</f>
        <v>24305275</v>
      </c>
      <c r="G96" s="86">
        <f>G55+G73+G95</f>
        <v>769399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6402304</v>
      </c>
      <c r="D101" s="24" t="s">
        <v>312</v>
      </c>
      <c r="E101" s="95">
        <f>('DOE25'!L268)+('DOE25'!L287)+('DOE25'!L306)</f>
        <v>200895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2097494</v>
      </c>
      <c r="D102" s="24" t="s">
        <v>312</v>
      </c>
      <c r="E102" s="95">
        <f>('DOE25'!L269)+('DOE25'!L288)+('DOE25'!L307)</f>
        <v>168746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271430</v>
      </c>
      <c r="D103" s="24" t="s">
        <v>312</v>
      </c>
      <c r="E103" s="95">
        <f>('DOE25'!L270)+('DOE25'!L289)+('DOE25'!L308)</f>
        <v>9731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185307</v>
      </c>
      <c r="D104" s="24" t="s">
        <v>312</v>
      </c>
      <c r="E104" s="95">
        <f>+('DOE25'!L271)+('DOE25'!L290)+('DOE25'!L309)</f>
        <v>2760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8956535</v>
      </c>
      <c r="D107" s="86">
        <f>SUM(D101:D106)</f>
        <v>0</v>
      </c>
      <c r="E107" s="86">
        <f>SUM(E101:E106)</f>
        <v>382132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896762</v>
      </c>
      <c r="D110" s="24" t="s">
        <v>312</v>
      </c>
      <c r="E110" s="95">
        <f>+('DOE25'!L273)+('DOE25'!L292)+('DOE25'!L311)</f>
        <v>226120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461494</v>
      </c>
      <c r="D111" s="24" t="s">
        <v>312</v>
      </c>
      <c r="E111" s="95">
        <f>+('DOE25'!L274)+('DOE25'!L293)+('DOE25'!L312)</f>
        <v>69078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573120</v>
      </c>
      <c r="D112" s="24" t="s">
        <v>312</v>
      </c>
      <c r="E112" s="95">
        <f>+('DOE25'!L275)+('DOE25'!L294)+('DOE25'!L313)</f>
        <v>60748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945604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288447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1629338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851088</v>
      </c>
      <c r="D116" s="24" t="s">
        <v>312</v>
      </c>
      <c r="E116" s="95">
        <f>+('DOE25'!L279)+('DOE25'!L298)+('DOE25'!L317)</f>
        <v>3254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322707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384840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5968560</v>
      </c>
      <c r="D120" s="86">
        <f>SUM(D110:D119)</f>
        <v>384840</v>
      </c>
      <c r="E120" s="86">
        <f>SUM(E110:E119)</f>
        <v>359200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1625015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11469</v>
      </c>
      <c r="F126" s="95">
        <f>'DOE25'!K373</f>
        <v>0</v>
      </c>
      <c r="G126" s="95">
        <f>'DOE25'!K426</f>
        <v>776896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769399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-1165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41286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809520</v>
      </c>
      <c r="D136" s="141">
        <f>SUM(D122:D135)</f>
        <v>0</v>
      </c>
      <c r="E136" s="141">
        <f>SUM(E122:E135)</f>
        <v>11469</v>
      </c>
      <c r="F136" s="141">
        <f>SUM(F122:F135)</f>
        <v>1625015</v>
      </c>
      <c r="G136" s="141">
        <f>SUM(G122:G135)</f>
        <v>776896</v>
      </c>
    </row>
    <row r="137" spans="1:9" ht="12.75" thickTop="1" thickBot="1" x14ac:dyDescent="0.25">
      <c r="A137" s="33" t="s">
        <v>267</v>
      </c>
      <c r="C137" s="86">
        <f>(C107+C120+C136)</f>
        <v>15734615</v>
      </c>
      <c r="D137" s="86">
        <f>(D107+D120+D136)</f>
        <v>384840</v>
      </c>
      <c r="E137" s="86">
        <f>(E107+E120+E136)</f>
        <v>752801</v>
      </c>
      <c r="F137" s="86">
        <f>(F107+F120+F136)</f>
        <v>1625015</v>
      </c>
      <c r="G137" s="86">
        <f>(G107+G120+G136)</f>
        <v>776896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16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06/10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09/26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23623315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5.39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23623315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23623315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23623315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23623315</v>
      </c>
    </row>
    <row r="152" spans="1:7" x14ac:dyDescent="0.2">
      <c r="A152" s="22" t="s">
        <v>36</v>
      </c>
      <c r="B152" s="137">
        <f>'DOE25'!F489</f>
        <v>11084021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11084021</v>
      </c>
    </row>
    <row r="153" spans="1:7" x14ac:dyDescent="0.2">
      <c r="A153" s="22" t="s">
        <v>37</v>
      </c>
      <c r="B153" s="137">
        <f>'DOE25'!F490</f>
        <v>34707336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34707336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905455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905455</v>
      </c>
    </row>
    <row r="156" spans="1:7" x14ac:dyDescent="0.2">
      <c r="A156" s="22" t="s">
        <v>269</v>
      </c>
      <c r="B156" s="137">
        <f>'DOE25'!F493</f>
        <v>905455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905455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27B9-77C9-485E-893E-A1CFC8AE249E}">
  <sheetPr codeName="Sheet3">
    <tabColor indexed="43"/>
  </sheetPr>
  <dimension ref="A1:D42"/>
  <sheetViews>
    <sheetView workbookViewId="0">
      <selection activeCell="H643" sqref="H643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Mascenic Regional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11448</v>
      </c>
    </row>
    <row r="5" spans="1:4" x14ac:dyDescent="0.2">
      <c r="B5" t="s">
        <v>735</v>
      </c>
      <c r="C5" s="179">
        <f>IF('DOE25'!G655+'DOE25'!G660=0,0,ROUND('DOE25'!G662,0))</f>
        <v>11885</v>
      </c>
    </row>
    <row r="6" spans="1:4" x14ac:dyDescent="0.2">
      <c r="B6" t="s">
        <v>62</v>
      </c>
      <c r="C6" s="179">
        <f>IF('DOE25'!H655+'DOE25'!H660=0,0,ROUND('DOE25'!H662,0))</f>
        <v>11111</v>
      </c>
    </row>
    <row r="7" spans="1:4" x14ac:dyDescent="0.2">
      <c r="B7" t="s">
        <v>736</v>
      </c>
      <c r="C7" s="179">
        <f>IF('DOE25'!I655+'DOE25'!I660=0,0,ROUND('DOE25'!I662,0))</f>
        <v>11460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6603199</v>
      </c>
      <c r="D10" s="182">
        <f>ROUND((C10/$C$28)*100,1)</f>
        <v>41.6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2266240</v>
      </c>
      <c r="D11" s="182">
        <f>ROUND((C11/$C$28)*100,1)</f>
        <v>14.3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281161</v>
      </c>
      <c r="D12" s="182">
        <f>ROUND((C12/$C$28)*100,1)</f>
        <v>1.8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188067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1122882</v>
      </c>
      <c r="D15" s="182">
        <f t="shared" ref="D15:D27" si="0">ROUND((C15/$C$28)*100,1)</f>
        <v>7.1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530572</v>
      </c>
      <c r="D16" s="182">
        <f t="shared" si="0"/>
        <v>3.3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956575</v>
      </c>
      <c r="D17" s="182">
        <f t="shared" si="0"/>
        <v>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945604</v>
      </c>
      <c r="D18" s="182">
        <f t="shared" si="0"/>
        <v>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288447</v>
      </c>
      <c r="D19" s="182">
        <f t="shared" si="0"/>
        <v>1.8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1629338</v>
      </c>
      <c r="D20" s="182">
        <f t="shared" si="0"/>
        <v>10.3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854342</v>
      </c>
      <c r="D21" s="182">
        <f t="shared" si="0"/>
        <v>5.4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41286</v>
      </c>
      <c r="D26" s="182">
        <f t="shared" si="0"/>
        <v>0.3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155361</v>
      </c>
      <c r="D27" s="182">
        <f t="shared" si="0"/>
        <v>1</v>
      </c>
    </row>
    <row r="28" spans="1:4" x14ac:dyDescent="0.2">
      <c r="B28" s="187" t="s">
        <v>754</v>
      </c>
      <c r="C28" s="180">
        <f>SUM(C10:C27)</f>
        <v>15863074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1625015</v>
      </c>
    </row>
    <row r="30" spans="1:4" x14ac:dyDescent="0.2">
      <c r="B30" s="187" t="s">
        <v>760</v>
      </c>
      <c r="C30" s="180">
        <f>SUM(C28:C29)</f>
        <v>17488089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8433566</v>
      </c>
      <c r="D35" s="182">
        <f t="shared" ref="D35:D40" si="1">ROUND((C35/$C$41)*100,1)</f>
        <v>47.2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501565</v>
      </c>
      <c r="D36" s="182">
        <f t="shared" si="1"/>
        <v>2.8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5148838</v>
      </c>
      <c r="D37" s="182">
        <f t="shared" si="1"/>
        <v>28.8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2043595</v>
      </c>
      <c r="D38" s="182">
        <f t="shared" si="1"/>
        <v>11.4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976691</v>
      </c>
      <c r="D39" s="182">
        <f t="shared" si="1"/>
        <v>5.5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768234</v>
      </c>
      <c r="D40" s="182">
        <f t="shared" si="1"/>
        <v>4.3</v>
      </c>
    </row>
    <row r="41" spans="1:4" x14ac:dyDescent="0.2">
      <c r="B41" s="187" t="s">
        <v>768</v>
      </c>
      <c r="C41" s="180">
        <f>SUM(C35:C40)</f>
        <v>17872489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23623315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33C5B-D4A4-4405-8842-6843F4BFE787}">
  <sheetPr>
    <tabColor indexed="17"/>
  </sheetPr>
  <dimension ref="A1:IV90"/>
  <sheetViews>
    <sheetView workbookViewId="0">
      <pane ySplit="3" topLeftCell="A4" activePane="bottomLeft" state="frozen"/>
      <selection activeCell="H643" sqref="H643"/>
      <selection pane="bottomLeft" activeCell="H643" sqref="H64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Mascenic Regional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2010-10-04T15:19:17Z</cp:lastPrinted>
  <dcterms:created xsi:type="dcterms:W3CDTF">1997-12-04T19:04:30Z</dcterms:created>
  <dcterms:modified xsi:type="dcterms:W3CDTF">2025-01-02T14:48:33Z</dcterms:modified>
</cp:coreProperties>
</file>