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713C171-D70C-4DCD-A9D7-D732D3A94559}" xr6:coauthVersionLast="47" xr6:coauthVersionMax="47" xr10:uidLastSave="{00000000-0000-0000-0000-000000000000}"/>
  <workbookProtection workbookPassword="B70A" lockStructure="1"/>
  <bookViews>
    <workbookView xWindow="3030" yWindow="3030" windowWidth="21600" windowHeight="11505" tabRatio="855" xr2:uid="{695E86F9-3D3A-48A5-A7A6-BC9A2D6C0E0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H235" i="1"/>
  <c r="H199" i="1"/>
  <c r="H232" i="1"/>
  <c r="I232" i="1"/>
  <c r="I196" i="1"/>
  <c r="H196" i="1"/>
  <c r="H269" i="1"/>
  <c r="J269" i="1"/>
  <c r="G225" i="1"/>
  <c r="G239" i="1" s="1"/>
  <c r="G189" i="1"/>
  <c r="C9" i="12" s="1"/>
  <c r="G226" i="1"/>
  <c r="C18" i="12" s="1"/>
  <c r="A22" i="12" s="1"/>
  <c r="F226" i="1"/>
  <c r="G307" i="1"/>
  <c r="G269" i="1"/>
  <c r="F269" i="1"/>
  <c r="F307" i="1"/>
  <c r="C21" i="12"/>
  <c r="B21" i="12"/>
  <c r="H311" i="1"/>
  <c r="I307" i="1"/>
  <c r="H307" i="1"/>
  <c r="L307" i="1" s="1"/>
  <c r="H273" i="1"/>
  <c r="L273" i="1" s="1"/>
  <c r="E110" i="2" s="1"/>
  <c r="I269" i="1"/>
  <c r="L269" i="1" s="1"/>
  <c r="G232" i="1"/>
  <c r="F232" i="1"/>
  <c r="G196" i="1"/>
  <c r="F196" i="1"/>
  <c r="G190" i="1"/>
  <c r="F190" i="1"/>
  <c r="F189" i="1"/>
  <c r="F225" i="1"/>
  <c r="C12" i="12"/>
  <c r="C11" i="12"/>
  <c r="C10" i="12"/>
  <c r="C13" i="12" s="1"/>
  <c r="C20" i="12"/>
  <c r="C22" i="12" s="1"/>
  <c r="C19" i="12"/>
  <c r="B20" i="12"/>
  <c r="B19" i="12"/>
  <c r="B12" i="12"/>
  <c r="B11" i="12"/>
  <c r="B10" i="12"/>
  <c r="C39" i="12"/>
  <c r="B39" i="12"/>
  <c r="F462" i="1"/>
  <c r="F458" i="1"/>
  <c r="H617" i="1" s="1"/>
  <c r="H352" i="1"/>
  <c r="H350" i="1"/>
  <c r="H354" i="1" s="1"/>
  <c r="J235" i="1"/>
  <c r="J199" i="1"/>
  <c r="J594" i="1"/>
  <c r="H593" i="1"/>
  <c r="H462" i="1"/>
  <c r="H458" i="1"/>
  <c r="I306" i="1"/>
  <c r="H306" i="1"/>
  <c r="I268" i="1"/>
  <c r="H268" i="1"/>
  <c r="H282" i="1" s="1"/>
  <c r="G306" i="1"/>
  <c r="G320" i="1" s="1"/>
  <c r="F306" i="1"/>
  <c r="B9" i="12" s="1"/>
  <c r="A13" i="12" s="1"/>
  <c r="F268" i="1"/>
  <c r="J307" i="1"/>
  <c r="K268" i="1"/>
  <c r="J268" i="1"/>
  <c r="H274" i="1"/>
  <c r="J306" i="1"/>
  <c r="I511" i="1"/>
  <c r="G511" i="1"/>
  <c r="F511" i="1"/>
  <c r="I513" i="1"/>
  <c r="I514" i="1" s="1"/>
  <c r="I535" i="1" s="1"/>
  <c r="J513" i="1"/>
  <c r="J514" i="1" s="1"/>
  <c r="J535" i="1" s="1"/>
  <c r="H513" i="1"/>
  <c r="L513" i="1" s="1"/>
  <c r="F541" i="1" s="1"/>
  <c r="K541" i="1" s="1"/>
  <c r="G513" i="1"/>
  <c r="F513" i="1"/>
  <c r="J518" i="1"/>
  <c r="J516" i="1"/>
  <c r="I518" i="1"/>
  <c r="I516" i="1"/>
  <c r="H518" i="1"/>
  <c r="H516" i="1"/>
  <c r="G518" i="1"/>
  <c r="G516" i="1"/>
  <c r="F518" i="1"/>
  <c r="L518" i="1" s="1"/>
  <c r="G541" i="1" s="1"/>
  <c r="F516" i="1"/>
  <c r="L516" i="1" s="1"/>
  <c r="I523" i="1"/>
  <c r="I521" i="1"/>
  <c r="H523" i="1"/>
  <c r="H521" i="1"/>
  <c r="H528" i="1"/>
  <c r="H526" i="1"/>
  <c r="H572" i="1"/>
  <c r="F572" i="1"/>
  <c r="H585" i="1"/>
  <c r="H584" i="1"/>
  <c r="K584" i="1" s="1"/>
  <c r="J585" i="1"/>
  <c r="K585" i="1" s="1"/>
  <c r="J584" i="1"/>
  <c r="J588" i="1" s="1"/>
  <c r="H641" i="1" s="1"/>
  <c r="J583" i="1"/>
  <c r="H237" i="1"/>
  <c r="H201" i="1"/>
  <c r="H236" i="1"/>
  <c r="H200" i="1"/>
  <c r="I200" i="1"/>
  <c r="I235" i="1"/>
  <c r="I199" i="1"/>
  <c r="G235" i="1"/>
  <c r="G199" i="1"/>
  <c r="F235" i="1"/>
  <c r="F199" i="1"/>
  <c r="F203" i="1" s="1"/>
  <c r="F249" i="1" s="1"/>
  <c r="F263" i="1" s="1"/>
  <c r="K232" i="1"/>
  <c r="K196" i="1"/>
  <c r="J232" i="1"/>
  <c r="J196" i="1"/>
  <c r="I231" i="1"/>
  <c r="H231" i="1"/>
  <c r="H230" i="1"/>
  <c r="H228" i="1"/>
  <c r="I226" i="1"/>
  <c r="H226" i="1"/>
  <c r="H239" i="1" s="1"/>
  <c r="J226" i="1"/>
  <c r="J239" i="1" s="1"/>
  <c r="I225" i="1"/>
  <c r="I239" i="1" s="1"/>
  <c r="H225" i="1"/>
  <c r="I195" i="1"/>
  <c r="H195" i="1"/>
  <c r="H194" i="1"/>
  <c r="H192" i="1"/>
  <c r="I190" i="1"/>
  <c r="H190" i="1"/>
  <c r="J190" i="1"/>
  <c r="J189" i="1"/>
  <c r="I189" i="1"/>
  <c r="I203" i="1" s="1"/>
  <c r="H189" i="1"/>
  <c r="H203" i="1" s="1"/>
  <c r="H249" i="1" s="1"/>
  <c r="H263" i="1" s="1"/>
  <c r="G197" i="1"/>
  <c r="L197" i="1" s="1"/>
  <c r="I197" i="1"/>
  <c r="H197" i="1"/>
  <c r="F197" i="1"/>
  <c r="J195" i="1"/>
  <c r="G195" i="1"/>
  <c r="F195" i="1"/>
  <c r="I194" i="1"/>
  <c r="G194" i="1"/>
  <c r="F194" i="1"/>
  <c r="K192" i="1"/>
  <c r="K203" i="1" s="1"/>
  <c r="K249" i="1" s="1"/>
  <c r="K263" i="1" s="1"/>
  <c r="J192" i="1"/>
  <c r="J203" i="1" s="1"/>
  <c r="J249" i="1" s="1"/>
  <c r="I192" i="1"/>
  <c r="L192" i="1" s="1"/>
  <c r="G192" i="1"/>
  <c r="F192" i="1"/>
  <c r="K189" i="1"/>
  <c r="I233" i="1"/>
  <c r="H233" i="1"/>
  <c r="G233" i="1"/>
  <c r="F233" i="1"/>
  <c r="G231" i="1"/>
  <c r="F231" i="1"/>
  <c r="I230" i="1"/>
  <c r="G230" i="1"/>
  <c r="F230" i="1"/>
  <c r="F239" i="1" s="1"/>
  <c r="K228" i="1"/>
  <c r="J228" i="1"/>
  <c r="I228" i="1"/>
  <c r="G228" i="1"/>
  <c r="F228" i="1"/>
  <c r="H227" i="1"/>
  <c r="K225" i="1"/>
  <c r="J225" i="1"/>
  <c r="F115" i="1"/>
  <c r="F110" i="1"/>
  <c r="C37" i="10" s="1"/>
  <c r="H151" i="1"/>
  <c r="H147" i="1"/>
  <c r="E80" i="2" s="1"/>
  <c r="H146" i="1"/>
  <c r="H57" i="1"/>
  <c r="H55" i="1"/>
  <c r="G89" i="1"/>
  <c r="H14" i="1"/>
  <c r="H17" i="1"/>
  <c r="H13" i="1"/>
  <c r="F42" i="1"/>
  <c r="F30" i="1"/>
  <c r="F9" i="1"/>
  <c r="C9" i="2" s="1"/>
  <c r="C19" i="2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G5" i="13"/>
  <c r="L189" i="1"/>
  <c r="L190" i="1"/>
  <c r="L191" i="1"/>
  <c r="L207" i="1"/>
  <c r="L208" i="1"/>
  <c r="L209" i="1"/>
  <c r="L210" i="1"/>
  <c r="L227" i="1"/>
  <c r="C12" i="10" s="1"/>
  <c r="L228" i="1"/>
  <c r="F6" i="13"/>
  <c r="G6" i="13"/>
  <c r="L194" i="1"/>
  <c r="L212" i="1"/>
  <c r="F7" i="13"/>
  <c r="G7" i="13"/>
  <c r="L195" i="1"/>
  <c r="L213" i="1"/>
  <c r="C16" i="10" s="1"/>
  <c r="L231" i="1"/>
  <c r="D7" i="13"/>
  <c r="C7" i="13" s="1"/>
  <c r="F12" i="13"/>
  <c r="G12" i="13"/>
  <c r="L215" i="1"/>
  <c r="L233" i="1"/>
  <c r="F14" i="13"/>
  <c r="G14" i="13"/>
  <c r="L217" i="1"/>
  <c r="L235" i="1"/>
  <c r="F15" i="13"/>
  <c r="G15" i="13"/>
  <c r="L200" i="1"/>
  <c r="L218" i="1"/>
  <c r="L236" i="1"/>
  <c r="D15" i="13"/>
  <c r="C15" i="13" s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/>
  <c r="F29" i="13"/>
  <c r="G29" i="13"/>
  <c r="L351" i="1"/>
  <c r="L352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70" i="1"/>
  <c r="E103" i="2" s="1"/>
  <c r="L271" i="1"/>
  <c r="L274" i="1"/>
  <c r="L275" i="1"/>
  <c r="L276" i="1"/>
  <c r="L277" i="1"/>
  <c r="L278" i="1"/>
  <c r="E115" i="2" s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E117" i="2" s="1"/>
  <c r="L308" i="1"/>
  <c r="L309" i="1"/>
  <c r="L311" i="1"/>
  <c r="L312" i="1"/>
  <c r="L313" i="1"/>
  <c r="L314" i="1"/>
  <c r="E113" i="2" s="1"/>
  <c r="L315" i="1"/>
  <c r="L316" i="1"/>
  <c r="L317" i="1"/>
  <c r="H652" i="1" s="1"/>
  <c r="I652" i="1" s="1"/>
  <c r="L318" i="1"/>
  <c r="L325" i="1"/>
  <c r="L326" i="1"/>
  <c r="L327" i="1"/>
  <c r="L252" i="1"/>
  <c r="L253" i="1"/>
  <c r="L333" i="1"/>
  <c r="C32" i="10" s="1"/>
  <c r="L334" i="1"/>
  <c r="E124" i="2" s="1"/>
  <c r="H25" i="13"/>
  <c r="H33" i="13" s="1"/>
  <c r="L247" i="1"/>
  <c r="F22" i="13" s="1"/>
  <c r="C22" i="13" s="1"/>
  <c r="L328" i="1"/>
  <c r="C19" i="13"/>
  <c r="C17" i="13"/>
  <c r="C16" i="13"/>
  <c r="C11" i="13"/>
  <c r="C10" i="13"/>
  <c r="C9" i="13"/>
  <c r="L353" i="1"/>
  <c r="B4" i="12"/>
  <c r="B36" i="12"/>
  <c r="C36" i="12"/>
  <c r="B40" i="12"/>
  <c r="C40" i="12"/>
  <c r="A40" i="12" s="1"/>
  <c r="B27" i="12"/>
  <c r="C27" i="12"/>
  <c r="B31" i="12"/>
  <c r="A31" i="12" s="1"/>
  <c r="C31" i="12"/>
  <c r="B13" i="12"/>
  <c r="B18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J104" i="1" s="1"/>
  <c r="G48" i="2"/>
  <c r="G51" i="2"/>
  <c r="G54" i="2" s="1"/>
  <c r="G53" i="2"/>
  <c r="F2" i="11"/>
  <c r="L603" i="1"/>
  <c r="H653" i="1"/>
  <c r="L602" i="1"/>
  <c r="G653" i="1" s="1"/>
  <c r="L601" i="1"/>
  <c r="F653" i="1"/>
  <c r="I653" i="1" s="1"/>
  <c r="C40" i="10"/>
  <c r="F52" i="1"/>
  <c r="C35" i="10" s="1"/>
  <c r="G52" i="1"/>
  <c r="H52" i="1"/>
  <c r="I52" i="1"/>
  <c r="F71" i="1"/>
  <c r="F86" i="1"/>
  <c r="C50" i="2" s="1"/>
  <c r="F103" i="1"/>
  <c r="G103" i="1"/>
  <c r="G104" i="1"/>
  <c r="H71" i="1"/>
  <c r="E49" i="2" s="1"/>
  <c r="E54" i="2" s="1"/>
  <c r="H86" i="1"/>
  <c r="H103" i="1"/>
  <c r="I103" i="1"/>
  <c r="I104" i="1"/>
  <c r="J103" i="1"/>
  <c r="F113" i="1"/>
  <c r="F128" i="1"/>
  <c r="F132" i="1"/>
  <c r="G113" i="1"/>
  <c r="G132" i="1" s="1"/>
  <c r="G185" i="1" s="1"/>
  <c r="G618" i="1" s="1"/>
  <c r="J618" i="1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I139" i="1"/>
  <c r="I161" i="1" s="1"/>
  <c r="I154" i="1"/>
  <c r="L242" i="1"/>
  <c r="C105" i="2" s="1"/>
  <c r="L324" i="1"/>
  <c r="E105" i="2" s="1"/>
  <c r="C23" i="10"/>
  <c r="L246" i="1"/>
  <c r="C24" i="10" s="1"/>
  <c r="L260" i="1"/>
  <c r="L261" i="1"/>
  <c r="L341" i="1"/>
  <c r="L342" i="1"/>
  <c r="E135" i="2" s="1"/>
  <c r="I655" i="1"/>
  <c r="I660" i="1"/>
  <c r="F652" i="1"/>
  <c r="G652" i="1"/>
  <c r="I659" i="1"/>
  <c r="C5" i="10"/>
  <c r="C42" i="10"/>
  <c r="L366" i="1"/>
  <c r="L367" i="1"/>
  <c r="C29" i="10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7" i="1"/>
  <c r="G540" i="1" s="1"/>
  <c r="L521" i="1"/>
  <c r="H539" i="1" s="1"/>
  <c r="H542" i="1" s="1"/>
  <c r="L522" i="1"/>
  <c r="H540" i="1"/>
  <c r="L523" i="1"/>
  <c r="H541" i="1"/>
  <c r="L526" i="1"/>
  <c r="I539" i="1" s="1"/>
  <c r="I542" i="1" s="1"/>
  <c r="L527" i="1"/>
  <c r="I540" i="1"/>
  <c r="L528" i="1"/>
  <c r="L529" i="1" s="1"/>
  <c r="I541" i="1"/>
  <c r="L531" i="1"/>
  <c r="J539" i="1"/>
  <c r="L532" i="1"/>
  <c r="J540" i="1"/>
  <c r="J542" i="1" s="1"/>
  <c r="L533" i="1"/>
  <c r="J541" i="1"/>
  <c r="K262" i="1"/>
  <c r="J262" i="1"/>
  <c r="I262" i="1"/>
  <c r="H262" i="1"/>
  <c r="G262" i="1"/>
  <c r="F262" i="1"/>
  <c r="C124" i="2"/>
  <c r="C123" i="2"/>
  <c r="A1" i="2"/>
  <c r="A2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E19" i="2"/>
  <c r="F19" i="2"/>
  <c r="C22" i="2"/>
  <c r="D22" i="2"/>
  <c r="E22" i="2"/>
  <c r="F22" i="2"/>
  <c r="I440" i="1"/>
  <c r="J23" i="1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C42" i="2" s="1"/>
  <c r="C43" i="2" s="1"/>
  <c r="D40" i="2"/>
  <c r="D42" i="2" s="1"/>
  <c r="D43" i="2" s="1"/>
  <c r="E40" i="2"/>
  <c r="F40" i="2"/>
  <c r="I449" i="1"/>
  <c r="J41" i="1" s="1"/>
  <c r="G40" i="2" s="1"/>
  <c r="C41" i="2"/>
  <c r="D41" i="2"/>
  <c r="E41" i="2"/>
  <c r="F41" i="2"/>
  <c r="E42" i="2"/>
  <c r="C48" i="2"/>
  <c r="D48" i="2"/>
  <c r="E48" i="2"/>
  <c r="E55" i="2" s="1"/>
  <c r="F48" i="2"/>
  <c r="F55" i="2" s="1"/>
  <c r="C49" i="2"/>
  <c r="C54" i="2" s="1"/>
  <c r="E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E70" i="2" s="1"/>
  <c r="F69" i="2"/>
  <c r="G69" i="2"/>
  <c r="G70" i="2" s="1"/>
  <c r="G73" i="2" s="1"/>
  <c r="C70" i="2"/>
  <c r="D70" i="2"/>
  <c r="D73" i="2" s="1"/>
  <c r="C71" i="2"/>
  <c r="D71" i="2"/>
  <c r="E71" i="2"/>
  <c r="C72" i="2"/>
  <c r="E72" i="2"/>
  <c r="C77" i="2"/>
  <c r="D77" i="2"/>
  <c r="E77" i="2"/>
  <c r="C79" i="2"/>
  <c r="E79" i="2"/>
  <c r="F79" i="2"/>
  <c r="C80" i="2"/>
  <c r="D80" i="2"/>
  <c r="D83" i="2" s="1"/>
  <c r="F80" i="2"/>
  <c r="C81" i="2"/>
  <c r="C83" i="2" s="1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4" i="2"/>
  <c r="C106" i="2"/>
  <c r="E106" i="2"/>
  <c r="D107" i="2"/>
  <c r="F107" i="2"/>
  <c r="F137" i="2" s="1"/>
  <c r="G107" i="2"/>
  <c r="C111" i="2"/>
  <c r="E111" i="2"/>
  <c r="C112" i="2"/>
  <c r="E112" i="2"/>
  <c r="E114" i="2"/>
  <c r="C116" i="2"/>
  <c r="E116" i="2"/>
  <c r="C117" i="2"/>
  <c r="F120" i="2"/>
  <c r="G120" i="2"/>
  <c r="C122" i="2"/>
  <c r="E122" i="2"/>
  <c r="F122" i="2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 s="1"/>
  <c r="E127" i="2"/>
  <c r="L256" i="1"/>
  <c r="C128" i="2"/>
  <c r="L257" i="1"/>
  <c r="C129" i="2" s="1"/>
  <c r="E129" i="2"/>
  <c r="C134" i="2"/>
  <c r="E134" i="2"/>
  <c r="C135" i="2"/>
  <c r="F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156" i="2" s="1"/>
  <c r="G493" i="1"/>
  <c r="C156" i="2"/>
  <c r="H493" i="1"/>
  <c r="D156" i="2"/>
  <c r="I493" i="1"/>
  <c r="E156" i="2"/>
  <c r="J493" i="1"/>
  <c r="F156" i="2" s="1"/>
  <c r="F19" i="1"/>
  <c r="G607" i="1" s="1"/>
  <c r="G19" i="1"/>
  <c r="G608" i="1" s="1"/>
  <c r="H19" i="1"/>
  <c r="G609" i="1" s="1"/>
  <c r="I19" i="1"/>
  <c r="F33" i="1"/>
  <c r="G33" i="1"/>
  <c r="G44" i="1" s="1"/>
  <c r="H608" i="1" s="1"/>
  <c r="H33" i="1"/>
  <c r="I33" i="1"/>
  <c r="F43" i="1"/>
  <c r="F44" i="1" s="1"/>
  <c r="H607" i="1" s="1"/>
  <c r="G43" i="1"/>
  <c r="H43" i="1"/>
  <c r="H44" i="1" s="1"/>
  <c r="H609" i="1" s="1"/>
  <c r="I43" i="1"/>
  <c r="G615" i="1" s="1"/>
  <c r="J615" i="1" s="1"/>
  <c r="F169" i="1"/>
  <c r="F184" i="1" s="1"/>
  <c r="I169" i="1"/>
  <c r="I184" i="1" s="1"/>
  <c r="F175" i="1"/>
  <c r="G175" i="1"/>
  <c r="H175" i="1"/>
  <c r="H184" i="1" s="1"/>
  <c r="I175" i="1"/>
  <c r="J175" i="1"/>
  <c r="G635" i="1" s="1"/>
  <c r="F180" i="1"/>
  <c r="G180" i="1"/>
  <c r="H180" i="1"/>
  <c r="I180" i="1"/>
  <c r="G184" i="1"/>
  <c r="F221" i="1"/>
  <c r="G221" i="1"/>
  <c r="H221" i="1"/>
  <c r="I221" i="1"/>
  <c r="J221" i="1"/>
  <c r="K221" i="1"/>
  <c r="K239" i="1"/>
  <c r="F248" i="1"/>
  <c r="G248" i="1"/>
  <c r="L248" i="1" s="1"/>
  <c r="H248" i="1"/>
  <c r="I248" i="1"/>
  <c r="J248" i="1"/>
  <c r="K248" i="1"/>
  <c r="L262" i="1"/>
  <c r="F282" i="1"/>
  <c r="G282" i="1"/>
  <c r="F301" i="1"/>
  <c r="G301" i="1"/>
  <c r="H301" i="1"/>
  <c r="I301" i="1"/>
  <c r="I320" i="1"/>
  <c r="F329" i="1"/>
  <c r="L329" i="1" s="1"/>
  <c r="G329" i="1"/>
  <c r="H329" i="1"/>
  <c r="I329" i="1"/>
  <c r="J329" i="1"/>
  <c r="J330" i="1" s="1"/>
  <c r="J344" i="1" s="1"/>
  <c r="K329" i="1"/>
  <c r="K330" i="1" s="1"/>
  <c r="K344" i="1" s="1"/>
  <c r="F354" i="1"/>
  <c r="G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H633" i="1" s="1"/>
  <c r="G400" i="1"/>
  <c r="H635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H438" i="1"/>
  <c r="G631" i="1" s="1"/>
  <c r="J631" i="1" s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I450" i="1"/>
  <c r="H451" i="1"/>
  <c r="H631" i="1" s="1"/>
  <c r="F460" i="1"/>
  <c r="F466" i="1" s="1"/>
  <c r="H612" i="1" s="1"/>
  <c r="J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G466" i="1"/>
  <c r="H613" i="1" s="1"/>
  <c r="H466" i="1"/>
  <c r="H614" i="1" s="1"/>
  <c r="J614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K514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H550" i="1"/>
  <c r="I550" i="1"/>
  <c r="J550" i="1"/>
  <c r="K550" i="1"/>
  <c r="K561" i="1" s="1"/>
  <c r="L552" i="1"/>
  <c r="L555" i="1" s="1"/>
  <c r="L553" i="1"/>
  <c r="L554" i="1"/>
  <c r="F555" i="1"/>
  <c r="F561" i="1" s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I561" i="1" s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6" i="1"/>
  <c r="K587" i="1"/>
  <c r="I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2" i="1"/>
  <c r="G613" i="1"/>
  <c r="J613" i="1" s="1"/>
  <c r="G614" i="1"/>
  <c r="H618" i="1"/>
  <c r="H619" i="1"/>
  <c r="H620" i="1"/>
  <c r="H621" i="1"/>
  <c r="H622" i="1"/>
  <c r="H623" i="1"/>
  <c r="H625" i="1"/>
  <c r="G626" i="1"/>
  <c r="H626" i="1"/>
  <c r="J626" i="1"/>
  <c r="H627" i="1"/>
  <c r="H628" i="1"/>
  <c r="G629" i="1"/>
  <c r="J629" i="1" s="1"/>
  <c r="G630" i="1"/>
  <c r="G633" i="1"/>
  <c r="G634" i="1"/>
  <c r="H637" i="1"/>
  <c r="G639" i="1"/>
  <c r="G640" i="1"/>
  <c r="H640" i="1"/>
  <c r="J640" i="1"/>
  <c r="G641" i="1"/>
  <c r="G642" i="1"/>
  <c r="H642" i="1"/>
  <c r="J642" i="1"/>
  <c r="G643" i="1"/>
  <c r="H643" i="1"/>
  <c r="J643" i="1" s="1"/>
  <c r="G644" i="1"/>
  <c r="H644" i="1"/>
  <c r="J644" i="1"/>
  <c r="G645" i="1"/>
  <c r="J645" i="1" s="1"/>
  <c r="H645" i="1"/>
  <c r="B22" i="12"/>
  <c r="J641" i="1" l="1"/>
  <c r="G153" i="2"/>
  <c r="C73" i="2"/>
  <c r="J263" i="1"/>
  <c r="H638" i="1"/>
  <c r="E120" i="2"/>
  <c r="F542" i="1"/>
  <c r="L561" i="1"/>
  <c r="E83" i="2"/>
  <c r="F43" i="2"/>
  <c r="G55" i="2"/>
  <c r="G96" i="2" s="1"/>
  <c r="I249" i="1"/>
  <c r="I263" i="1" s="1"/>
  <c r="J638" i="1"/>
  <c r="G137" i="2"/>
  <c r="C55" i="2"/>
  <c r="G22" i="2"/>
  <c r="G32" i="2" s="1"/>
  <c r="J33" i="1"/>
  <c r="C13" i="10"/>
  <c r="C104" i="2"/>
  <c r="E102" i="2"/>
  <c r="L282" i="1"/>
  <c r="J635" i="1"/>
  <c r="E73" i="2"/>
  <c r="E96" i="2" s="1"/>
  <c r="E43" i="2"/>
  <c r="J19" i="1"/>
  <c r="G611" i="1" s="1"/>
  <c r="G9" i="2"/>
  <c r="G19" i="2" s="1"/>
  <c r="F535" i="1"/>
  <c r="I185" i="1"/>
  <c r="G620" i="1" s="1"/>
  <c r="J620" i="1" s="1"/>
  <c r="G33" i="13"/>
  <c r="G330" i="1"/>
  <c r="G344" i="1" s="1"/>
  <c r="G37" i="2"/>
  <c r="G42" i="2" s="1"/>
  <c r="G43" i="2" s="1"/>
  <c r="J43" i="1"/>
  <c r="L519" i="1"/>
  <c r="G539" i="1"/>
  <c r="G542" i="1" s="1"/>
  <c r="J633" i="1"/>
  <c r="J609" i="1"/>
  <c r="D96" i="2"/>
  <c r="J608" i="1"/>
  <c r="L400" i="1"/>
  <c r="C130" i="2"/>
  <c r="C133" i="2" s="1"/>
  <c r="E33" i="13"/>
  <c r="D35" i="13" s="1"/>
  <c r="C8" i="13"/>
  <c r="J607" i="1"/>
  <c r="C136" i="2"/>
  <c r="C113" i="2"/>
  <c r="D12" i="13"/>
  <c r="C12" i="13" s="1"/>
  <c r="C18" i="10"/>
  <c r="K540" i="1"/>
  <c r="C38" i="10"/>
  <c r="L514" i="1"/>
  <c r="L535" i="1" s="1"/>
  <c r="I282" i="1"/>
  <c r="I330" i="1" s="1"/>
  <c r="I344" i="1" s="1"/>
  <c r="F5" i="13"/>
  <c r="J184" i="1"/>
  <c r="J185" i="1" s="1"/>
  <c r="C103" i="2"/>
  <c r="C21" i="10"/>
  <c r="H154" i="1"/>
  <c r="H161" i="1" s="1"/>
  <c r="C39" i="10" s="1"/>
  <c r="F104" i="1"/>
  <c r="F185" i="1" s="1"/>
  <c r="G617" i="1" s="1"/>
  <c r="J617" i="1" s="1"/>
  <c r="L350" i="1"/>
  <c r="L199" i="1"/>
  <c r="L226" i="1"/>
  <c r="L306" i="1"/>
  <c r="L320" i="1" s="1"/>
  <c r="I438" i="1"/>
  <c r="G632" i="1" s="1"/>
  <c r="J632" i="1" s="1"/>
  <c r="K490" i="1"/>
  <c r="C26" i="10"/>
  <c r="C25" i="13"/>
  <c r="L225" i="1"/>
  <c r="F519" i="1"/>
  <c r="H588" i="1"/>
  <c r="H639" i="1" s="1"/>
  <c r="J639" i="1" s="1"/>
  <c r="L221" i="1"/>
  <c r="G650" i="1" s="1"/>
  <c r="C19" i="10"/>
  <c r="H514" i="1"/>
  <c r="H535" i="1" s="1"/>
  <c r="C114" i="2"/>
  <c r="C10" i="10"/>
  <c r="H320" i="1"/>
  <c r="H330" i="1" s="1"/>
  <c r="H344" i="1" s="1"/>
  <c r="C101" i="2"/>
  <c r="F77" i="2"/>
  <c r="F83" i="2" s="1"/>
  <c r="F96" i="2" s="1"/>
  <c r="C17" i="10"/>
  <c r="L230" i="1"/>
  <c r="G203" i="1"/>
  <c r="G249" i="1" s="1"/>
  <c r="G263" i="1" s="1"/>
  <c r="I44" i="1"/>
  <c r="H610" i="1" s="1"/>
  <c r="J610" i="1" s="1"/>
  <c r="L343" i="1"/>
  <c r="I444" i="1"/>
  <c r="I451" i="1" s="1"/>
  <c r="H632" i="1" s="1"/>
  <c r="F320" i="1"/>
  <c r="F330" i="1" s="1"/>
  <c r="F344" i="1" s="1"/>
  <c r="C25" i="10"/>
  <c r="H104" i="1"/>
  <c r="H185" i="1" s="1"/>
  <c r="G619" i="1" s="1"/>
  <c r="J619" i="1" s="1"/>
  <c r="E123" i="2"/>
  <c r="E136" i="2" s="1"/>
  <c r="G636" i="1" l="1"/>
  <c r="G621" i="1"/>
  <c r="J621" i="1" s="1"/>
  <c r="C102" i="2"/>
  <c r="C11" i="10"/>
  <c r="C96" i="2"/>
  <c r="D14" i="13"/>
  <c r="C14" i="13" s="1"/>
  <c r="C20" i="10"/>
  <c r="C115" i="2"/>
  <c r="G627" i="1"/>
  <c r="J627" i="1" s="1"/>
  <c r="H636" i="1"/>
  <c r="D29" i="13"/>
  <c r="C29" i="13" s="1"/>
  <c r="L354" i="1"/>
  <c r="D119" i="2"/>
  <c r="D120" i="2" s="1"/>
  <c r="D137" i="2" s="1"/>
  <c r="F651" i="1"/>
  <c r="I651" i="1" s="1"/>
  <c r="H651" i="1"/>
  <c r="G654" i="1"/>
  <c r="D31" i="13"/>
  <c r="C31" i="13" s="1"/>
  <c r="L330" i="1"/>
  <c r="L344" i="1" s="1"/>
  <c r="G623" i="1" s="1"/>
  <c r="J623" i="1" s="1"/>
  <c r="G616" i="1"/>
  <c r="J616" i="1" s="1"/>
  <c r="J44" i="1"/>
  <c r="H611" i="1" s="1"/>
  <c r="J611" i="1" s="1"/>
  <c r="L203" i="1"/>
  <c r="C15" i="10"/>
  <c r="D6" i="13"/>
  <c r="C6" i="13" s="1"/>
  <c r="C110" i="2"/>
  <c r="L239" i="1"/>
  <c r="H650" i="1" s="1"/>
  <c r="H654" i="1" s="1"/>
  <c r="K539" i="1"/>
  <c r="K542" i="1" s="1"/>
  <c r="E101" i="2"/>
  <c r="E107" i="2" s="1"/>
  <c r="E137" i="2" s="1"/>
  <c r="C36" i="10"/>
  <c r="C107" i="2"/>
  <c r="F33" i="13"/>
  <c r="D5" i="13"/>
  <c r="G651" i="1"/>
  <c r="G662" i="1" l="1"/>
  <c r="G657" i="1"/>
  <c r="H662" i="1"/>
  <c r="C6" i="10" s="1"/>
  <c r="H657" i="1"/>
  <c r="C120" i="2"/>
  <c r="C137" i="2" s="1"/>
  <c r="D33" i="13"/>
  <c r="D36" i="13" s="1"/>
  <c r="C5" i="13"/>
  <c r="F650" i="1"/>
  <c r="L249" i="1"/>
  <c r="L263" i="1" s="1"/>
  <c r="G622" i="1" s="1"/>
  <c r="J622" i="1" s="1"/>
  <c r="G625" i="1"/>
  <c r="J625" i="1" s="1"/>
  <c r="C27" i="10"/>
  <c r="D36" i="10"/>
  <c r="C41" i="10"/>
  <c r="H646" i="1"/>
  <c r="J636" i="1"/>
  <c r="D35" i="10" l="1"/>
  <c r="D40" i="10"/>
  <c r="D37" i="10"/>
  <c r="D39" i="10"/>
  <c r="D38" i="10"/>
  <c r="F654" i="1"/>
  <c r="I650" i="1"/>
  <c r="I654" i="1" s="1"/>
  <c r="C28" i="10"/>
  <c r="D22" i="10" l="1"/>
  <c r="C30" i="10"/>
  <c r="D23" i="10"/>
  <c r="D24" i="10"/>
  <c r="D12" i="10"/>
  <c r="D16" i="10"/>
  <c r="D13" i="10"/>
  <c r="D17" i="10"/>
  <c r="D19" i="10"/>
  <c r="D26" i="10"/>
  <c r="D25" i="10"/>
  <c r="D21" i="10"/>
  <c r="D18" i="10"/>
  <c r="D10" i="10"/>
  <c r="D20" i="10"/>
  <c r="D15" i="10"/>
  <c r="D11" i="10"/>
  <c r="I662" i="1"/>
  <c r="C7" i="10" s="1"/>
  <c r="I657" i="1"/>
  <c r="F662" i="1"/>
  <c r="C4" i="10" s="1"/>
  <c r="F657" i="1"/>
  <c r="D27" i="10"/>
  <c r="D4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7F4B6FD-672B-4B1F-9C0E-B1A405ADAAF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52090AC-E9FD-4EA3-81FB-3D22E5CECFE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F8BB6F7-4D4B-4CDA-B9B5-A7CFFECB94E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70FD4B6-470B-4480-A8FF-BC535E11F94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599065E-6560-4962-B8CF-6D235F3E8D4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A6C758E-804E-4CA2-B410-134CF593F5C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3642E78-9A64-46A8-BC2F-FE311513DF2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837B4AE-0099-48EC-B275-9DF3D8271CB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AAAE2B9-77A0-4636-B7CD-E5D51E4FF19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BB0162B-61A7-41F4-BEF0-B4B4610691B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2EA2619-1C35-4698-A70E-23C6C282A29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AA266DE-70EC-4927-AEEE-088137A08D3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<sst xmlns="http://schemas.openxmlformats.org/spreadsheetml/2006/main" count="3866" uniqueCount="897">
  <si>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</si>
  <si>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</si>
  <si>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</si>
  <si>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</si>
  <si>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</si>
  <si>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</si>
  <si>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</si>
  <si>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</si>
  <si>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</si>
  <si>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</si>
  <si>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</si>
  <si>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</si>
  <si>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</si>
  <si>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</si>
  <si>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</si>
  <si>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</si>
  <si>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</si>
  <si>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</si>
  <si>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</si>
  <si>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</si>
  <si>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</si>
  <si>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</si>
  <si>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</si>
  <si>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</si>
  <si>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</si>
  <si>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</si>
  <si>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</si>
  <si>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</si>
  <si>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</si>
  <si>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</si>
  <si>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</si>
  <si>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</si>
  <si>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</si>
  <si>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</si>
  <si>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</si>
  <si>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</si>
  <si>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</si>
  <si>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</si>
  <si>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</si>
  <si>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</si>
  <si>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</si>
  <si>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</si>
  <si>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</si>
  <si>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</si>
  <si>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</si>
  <si>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</si>
  <si>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</si>
  <si>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</si>
  <si>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</si>
  <si>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</si>
  <si>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</si>
  <si>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</si>
  <si>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</si>
  <si>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</si>
  <si>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</si>
  <si>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</si>
  <si>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</si>
  <si>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</si>
  <si>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</si>
  <si>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</si>
  <si>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</si>
  <si>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</si>
  <si>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</si>
  <si>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</si>
  <si>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</si>
  <si>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</si>
  <si>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</si>
  <si>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</si>
  <si>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</si>
  <si>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</si>
  <si>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</si>
  <si>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</si>
  <si>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</si>
  <si>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</si>
  <si>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</si>
  <si>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</si>
  <si>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</si>
  <si>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</si>
  <si>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</si>
  <si>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</si>
  <si>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</si>
  <si>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</si>
  <si>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</si>
  <si>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</si>
  <si>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</si>
  <si>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</si>
  <si>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</si>
  <si>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</si>
  <si>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</si>
  <si>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</si>
  <si>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</si>
  <si>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</si>
  <si>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</si>
  <si>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</si>
  <si>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</si>
  <si>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</si>
  <si>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</si>
  <si>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</si>
  <si>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</si>
  <si>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</si>
  <si>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</si>
  <si>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</si>
  <si>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</si>
  <si>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</si>
  <si>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</si>
  <si>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</si>
  <si>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</si>
  <si>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</si>
  <si>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</si>
  <si>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</si>
  <si>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</si>
  <si>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</si>
  <si>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</si>
  <si>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</si>
  <si>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</si>
  <si>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</si>
  <si>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</si>
  <si>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</si>
  <si>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</si>
  <si>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</si>
  <si>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</si>
  <si>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</si>
  <si>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</si>
  <si>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</si>
  <si>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</si>
  <si>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</si>
  <si>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</si>
  <si>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</si>
  <si>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</si>
  <si>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</si>
  <si>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</si>
  <si>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</si>
  <si>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</si>
  <si>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</si>
  <si>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</si>
  <si>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</si>
  <si>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</si>
  <si>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</si>
  <si>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</si>
  <si>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</si>
  <si>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</si>
  <si>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</si>
  <si>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</si>
  <si>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</si>
  <si>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</si>
  <si>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</si>
  <si>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</si>
  <si>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</si>
  <si>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</si>
  <si>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</si>
  <si>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</si>
  <si>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</si>
  <si>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</si>
  <si>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</si>
  <si>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</si>
  <si>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</si>
  <si>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</si>
  <si>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</si>
  <si>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</si>
  <si>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</si>
  <si>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</si>
  <si>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</si>
  <si>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</si>
  <si>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</si>
  <si>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</si>
  <si>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</si>
  <si>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</si>
  <si>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</si>
  <si>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</si>
  <si>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</si>
  <si>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</si>
  <si>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</si>
  <si>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</si>
  <si>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</si>
  <si>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</si>
  <si>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</si>
  <si>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</si>
  <si>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</si>
  <si>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</si>
  <si>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</si>
  <si>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</si>
  <si>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</si>
  <si>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</si>
  <si>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</si>
  <si>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</si>
  <si>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</si>
  <si>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</si>
  <si>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</si>
  <si>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</si>
  <si>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</si>
  <si>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</si>
  <si>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</si>
  <si>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</si>
  <si>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</si>
  <si>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</si>
  <si>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</si>
  <si>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</si>
  <si>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</si>
  <si>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</si>
  <si>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</si>
  <si>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</si>
  <si>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</si>
  <si>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</si>
  <si>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</si>
  <si>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</si>
  <si>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</si>
  <si>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</si>
  <si>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</si>
  <si>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</si>
  <si>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</si>
  <si>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</si>
  <si>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</si>
  <si>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</si>
  <si>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</si>
  <si>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</si>
  <si>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</si>
  <si>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</si>
  <si>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</si>
  <si>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</si>
  <si>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</si>
  <si>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</si>
  <si>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</si>
  <si>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</si>
  <si>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</si>
  <si>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</si>
  <si>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</si>
  <si>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</si>
  <si>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</si>
  <si>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</si>
  <si>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</si>
  <si>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</si>
  <si>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</si>
  <si>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</si>
  <si>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</si>
  <si>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</si>
  <si>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</si>
  <si>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</si>
  <si>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</si>
  <si>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</si>
  <si>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</si>
  <si>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</si>
  <si>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</si>
  <si>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</si>
  <si>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</si>
  <si>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</si>
  <si>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</si>
  <si>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</si>
  <si>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</si>
  <si>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</si>
  <si>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</si>
  <si>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</si>
  <si>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</si>
  <si>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</si>
  <si>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</si>
  <si>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</si>
  <si>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</si>
  <si>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</si>
  <si>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</si>
  <si>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</si>
  <si>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</si>
  <si>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</si>
  <si>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</si>
  <si>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</si>
  <si>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</si>
  <si>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</si>
  <si>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</si>
  <si>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</si>
  <si>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</si>
  <si>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</si>
  <si>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</si>
  <si>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</si>
  <si>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</si>
  <si>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</si>
  <si>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</si>
  <si>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</si>
  <si>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</si>
  <si>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</si>
  <si>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</si>
  <si>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</si>
  <si>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</si>
  <si>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</si>
  <si>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</si>
  <si>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</si>
  <si>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</si>
  <si>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</si>
  <si>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</si>
  <si>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</si>
  <si>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</si>
  <si>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</si>
  <si>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</si>
  <si>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</si>
  <si>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</si>
  <si>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</si>
  <si>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</si>
  <si>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</si>
  <si>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</si>
  <si>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</si>
  <si>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</si>
  <si>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</si>
  <si>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</si>
  <si>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</si>
  <si>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</si>
  <si>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</si>
  <si>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</si>
  <si>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</si>
  <si>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</si>
  <si>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</si>
  <si>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</si>
  <si>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</si>
  <si>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</si>
  <si>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</si>
  <si>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</si>
  <si>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</si>
  <si>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</si>
  <si>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</si>
  <si>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</si>
  <si>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</si>
  <si>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</si>
  <si>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</si>
  <si>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</si>
  <si>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</si>
  <si>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</si>
  <si>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</si>
  <si>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</si>
  <si>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</si>
  <si>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</si>
  <si>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</si>
  <si>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</si>
  <si>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</si>
  <si>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</si>
  <si>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</si>
  <si>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</si>
  <si>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</si>
  <si>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</si>
  <si>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</si>
  <si>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</si>
  <si>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</si>
  <si>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</si>
  <si>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</si>
  <si>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</si>
  <si>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</si>
  <si>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</si>
  <si>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</si>
  <si>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</si>
  <si>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</si>
  <si>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</si>
  <si>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</si>
  <si>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</si>
  <si>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</si>
  <si>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</si>
  <si>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</si>
  <si>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</si>
  <si>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</si>
  <si>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</si>
  <si>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</si>
  <si>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</si>
  <si>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</si>
  <si>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</si>
  <si>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</si>
  <si>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</si>
  <si>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</si>
  <si>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</si>
  <si>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</si>
  <si>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</si>
  <si>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</si>
  <si>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</si>
  <si>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</si>
  <si>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</si>
  <si>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</si>
  <si>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</si>
  <si>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</si>
  <si>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</si>
  <si>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</si>
  <si>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</si>
  <si>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</si>
  <si>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</si>
  <si>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</si>
  <si>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</si>
  <si>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</si>
  <si>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</si>
  <si>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</si>
  <si>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</si>
  <si>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</si>
  <si>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</si>
  <si>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</si>
  <si>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</si>
  <si>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</si>
  <si>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</si>
  <si>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</si>
  <si>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</si>
  <si>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</si>
  <si>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</si>
  <si>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</si>
  <si>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</si>
  <si>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</si>
  <si>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</si>
  <si>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</si>
  <si>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</si>
  <si>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</si>
  <si>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</si>
  <si>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</si>
  <si>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</si>
  <si>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</si>
  <si>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</si>
  <si>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</si>
  <si>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</si>
  <si>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</si>
  <si>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</si>
  <si>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</si>
  <si>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</si>
  <si>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</si>
  <si>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</si>
  <si>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</si>
  <si>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</si>
  <si>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</si>
  <si>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</si>
  <si>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</si>
  <si>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</si>
  <si>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</si>
  <si>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</si>
  <si>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</si>
  <si>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</si>
  <si>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</si>
  <si>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</si>
  <si>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</si>
  <si>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</si>
  <si>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</si>
  <si>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</si>
  <si>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</si>
  <si>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</si>
  <si>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</si>
  <si>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</si>
  <si>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</si>
  <si>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</si>
  <si>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</si>
  <si>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</si>
  <si>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</si>
  <si>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</si>
  <si>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</si>
  <si>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</si>
  <si>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</si>
  <si>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</si>
  <si>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</si>
  <si>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</si>
  <si>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</si>
  <si>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</si>
  <si>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</si>
  <si>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</si>
  <si>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</si>
  <si>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</si>
  <si>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</si>
  <si>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</si>
  <si>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</si>
  <si>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</si>
  <si>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</si>
  <si>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</si>
  <si>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</si>
  <si>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</si>
  <si>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</si>
  <si>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</si>
  <si>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</si>
  <si>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</si>
  <si>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</si>
  <si>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</si>
  <si>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</si>
  <si>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</si>
  <si>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</si>
  <si>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</si>
  <si>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</si>
  <si>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</si>
  <si>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</si>
  <si>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</si>
  <si>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</si>
  <si>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</si>
  <si>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</si>
  <si>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</si>
  <si>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</si>
  <si>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</si>
  <si>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</si>
  <si>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</si>
  <si>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</si>
  <si>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</si>
  <si>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</si>
  <si>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</si>
  <si>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</si>
  <si>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</si>
  <si>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</si>
  <si>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</si>
  <si>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</si>
  <si>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</si>
  <si>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</si>
  <si>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</si>
  <si>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</si>
  <si>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</si>
  <si>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</si>
  <si>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</si>
  <si>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</si>
  <si>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</si>
  <si>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</si>
  <si>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</si>
  <si>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</si>
  <si>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</si>
  <si>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</si>
  <si>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</si>
  <si>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</si>
  <si>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</si>
  <si>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</si>
  <si>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</si>
  <si>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</si>
  <si>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</si>
  <si>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</si>
  <si>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</si>
  <si>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</si>
  <si>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</si>
  <si>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</si>
  <si>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</si>
  <si>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</si>
  <si>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</si>
  <si>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</si>
  <si>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</si>
  <si>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</si>
  <si>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</si>
  <si>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</si>
  <si>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</si>
  <si>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</si>
  <si>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</si>
  <si>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</si>
  <si>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</si>
  <si>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</si>
  <si>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</si>
  <si>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</si>
  <si>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</si>
  <si>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</si>
  <si>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</si>
  <si>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</si>
  <si>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</si>
  <si>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</si>
  <si>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</si>
  <si>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</si>
  <si>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</si>
  <si>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</si>
  <si>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</si>
  <si>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</si>
  <si>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</si>
  <si>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</si>
  <si>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</si>
  <si>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</si>
  <si>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</si>
  <si>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</si>
  <si>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</si>
  <si>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</si>
  <si>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</si>
  <si>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</si>
  <si>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</si>
  <si>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</si>
  <si>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</si>
  <si>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</si>
  <si>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</si>
  <si>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</si>
  <si>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</si>
  <si>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</si>
  <si>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</si>
  <si>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</si>
  <si>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</si>
  <si>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</si>
  <si>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</si>
  <si>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</si>
  <si>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</si>
  <si>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</si>
  <si>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</si>
  <si>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</si>
  <si>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</si>
  <si>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</si>
  <si>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</si>
  <si>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</si>
  <si>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</si>
  <si>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</si>
  <si>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</si>
  <si>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</si>
  <si>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</si>
  <si>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</si>
  <si>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</si>
  <si>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</si>
  <si>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</si>
  <si>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</si>
  <si>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</si>
  <si>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</si>
  <si>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</si>
  <si>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</si>
  <si>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</si>
  <si>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</si>
  <si>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</si>
  <si>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</si>
  <si>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</si>
  <si>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</si>
  <si>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</si>
  <si>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</si>
  <si>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</si>
  <si>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</si>
  <si>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</si>
  <si>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</si>
  <si>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</si>
  <si>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</si>
  <si>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</si>
  <si>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</si>
  <si>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</si>
  <si>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</si>
  <si>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</si>
  <si>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</si>
  <si>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</si>
  <si>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</si>
  <si>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</si>
  <si>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</si>
  <si>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</si>
  <si>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</si>
  <si>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</si>
  <si>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</si>
  <si>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</si>
  <si>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</si>
  <si>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</si>
  <si>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</si>
  <si>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</si>
  <si>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</si>
  <si>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</si>
  <si>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</si>
  <si>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</si>
  <si>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</si>
  <si>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</si>
  <si>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</si>
  <si>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</si>
  <si>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</si>
  <si>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</si>
  <si>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</si>
  <si>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</si>
  <si>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</si>
  <si>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</si>
  <si>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</si>
  <si>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</si>
  <si>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</si>
  <si>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</si>
  <si>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</si>
  <si>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</si>
  <si>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</si>
  <si>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</si>
  <si>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</si>
  <si>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</si>
  <si>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</si>
  <si>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</si>
  <si>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</si>
  <si>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</si>
  <si>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</si>
  <si>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</si>
  <si>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</si>
  <si>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</si>
  <si>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</si>
  <si>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</si>
  <si>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</si>
  <si>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</si>
  <si>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</si>
  <si>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</si>
  <si>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</si>
  <si>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</si>
  <si>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</si>
  <si>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</si>
  <si>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</si>
  <si>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</si>
  <si>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</si>
  <si>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</si>
  <si>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</si>
  <si>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</si>
  <si>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</si>
  <si>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</si>
  <si>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</si>
  <si>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</si>
  <si>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</si>
  <si>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</si>
  <si>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</si>
  <si>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</si>
  <si>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</si>
  <si>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</si>
  <si>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</si>
  <si>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</si>
  <si>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</si>
  <si>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</si>
  <si>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</si>
  <si>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</si>
  <si>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</si>
  <si>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</si>
  <si>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</si>
  <si>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</si>
  <si>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</si>
  <si>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</si>
  <si>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</si>
  <si>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</si>
  <si>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</si>
  <si>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</si>
  <si>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</si>
  <si>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</si>
  <si>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</si>
  <si>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</si>
  <si>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</si>
  <si>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</si>
  <si>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</si>
  <si>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</si>
  <si>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</si>
  <si>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</si>
  <si>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</si>
  <si>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</si>
  <si>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</si>
  <si>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</si>
  <si>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</si>
  <si>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</si>
  <si>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</si>
  <si>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</si>
  <si>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</si>
  <si>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</si>
  <si>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</si>
  <si>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</si>
  <si>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</si>
  <si>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</si>
  <si>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</si>
  <si>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</si>
  <si>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</si>
  <si>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</si>
  <si>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</si>
  <si>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</si>
  <si>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</si>
  <si>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</si>
  <si>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</si>
  <si>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</si>
  <si>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</si>
  <si>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</si>
  <si>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</si>
  <si>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</si>
  <si>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</si>
  <si>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</si>
  <si>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</si>
  <si>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</si>
  <si>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</si>
  <si>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</si>
  <si>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</si>
  <si>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</si>
  <si>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</si>
  <si>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</si>
  <si>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</si>
  <si>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</si>
  <si>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</si>
  <si>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</si>
  <si>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</si>
  <si>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</si>
  <si>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</si>
  <si>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</si>
  <si>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</si>
  <si>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</si>
  <si>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</si>
  <si>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</si>
  <si>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</si>
  <si>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</si>
  <si>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</si>
  <si>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</si>
  <si>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</si>
  <si>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</si>
  <si>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</si>
  <si>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</si>
  <si>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</si>
  <si>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</si>
  <si>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</si>
  <si>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</si>
  <si>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</si>
  <si>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</si>
  <si>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</si>
  <si>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</si>
  <si>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</si>
  <si>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</si>
  <si>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</si>
  <si>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</si>
  <si>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</si>
  <si>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</si>
  <si>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</si>
  <si>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</si>
  <si>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</si>
  <si>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</si>
  <si>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</si>
  <si>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</si>
  <si>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</si>
  <si>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</si>
  <si>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</si>
  <si>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</si>
  <si>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</si>
  <si>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</si>
  <si>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</si>
  <si>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</si>
  <si>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</si>
  <si>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</si>
  <si>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</si>
  <si>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</si>
  <si>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</si>
  <si>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</si>
  <si>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</si>
  <si>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</si>
  <si>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</si>
  <si>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</si>
  <si>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</si>
  <si>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</si>
  <si>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</si>
  <si>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</si>
  <si>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</si>
  <si>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</si>
  <si>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</si>
  <si>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</si>
  <si>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</si>
  <si>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</si>
  <si>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</si>
  <si>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</si>
  <si>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</si>
  <si>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</si>
  <si>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</si>
  <si>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</si>
  <si>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</si>
  <si>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</si>
  <si>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</si>
  <si>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</si>
  <si>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</si>
  <si>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</si>
  <si>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</si>
  <si>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</si>
  <si>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</si>
  <si>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</si>
  <si>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</si>
  <si>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</si>
  <si>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</si>
  <si>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</si>
  <si>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</si>
  <si>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</si>
  <si>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</si>
  <si>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</si>
  <si>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</si>
  <si>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</si>
  <si>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</si>
  <si>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</si>
  <si>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</si>
  <si>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</si>
  <si>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</si>
  <si>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</si>
  <si>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</si>
  <si>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</si>
  <si>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</si>
  <si>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</si>
  <si>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</si>
  <si>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</si>
  <si>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</si>
  <si>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</si>
  <si>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</si>
  <si>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</si>
  <si>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</si>
  <si>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</si>
  <si>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</si>
  <si>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</si>
  <si>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</si>
  <si>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</si>
  <si>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</si>
  <si>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</si>
  <si>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</si>
  <si>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</si>
  <si>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</si>
  <si>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</si>
  <si>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</si>
  <si>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</si>
  <si>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</si>
  <si>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</si>
  <si>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</si>
  <si>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</si>
  <si>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</si>
  <si>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</si>
  <si>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</si>
  <si>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</si>
  <si>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</si>
  <si>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</si>
  <si>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</si>
  <si>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</si>
  <si>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</si>
  <si>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</si>
  <si>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</si>
  <si>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</si>
  <si>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</si>
  <si>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</si>
  <si>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</si>
  <si>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</si>
  <si>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</si>
  <si>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</si>
  <si>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</si>
  <si>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</si>
  <si>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</si>
  <si>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</si>
  <si>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02/01</t>
  </si>
  <si>
    <t>02/10</t>
  </si>
  <si>
    <t>Mascoma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</si>
</sst>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99D2-FCF3-49F9-B509-B522AE72200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343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921472.23+100+100+75+100+100</f>
        <v>921947.23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147621.17000000001</v>
      </c>
      <c r="G12" s="18"/>
      <c r="H12" s="18"/>
      <c r="I12" s="18"/>
      <c r="J12" s="67">
        <f>SUM(I433)</f>
        <v>591488.53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10234.75</v>
      </c>
      <c r="G13" s="18">
        <v>30091.94</v>
      </c>
      <c r="H13" s="18">
        <f>214076.5</f>
        <v>214076.5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-11</v>
      </c>
      <c r="G14" s="18">
        <v>28726.87</v>
      </c>
      <c r="H14" s="18">
        <f>522</f>
        <v>522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>
        <f>403</f>
        <v>403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1079792.1499999999</v>
      </c>
      <c r="G19" s="41">
        <f>SUM(G9:G18)</f>
        <v>58818.81</v>
      </c>
      <c r="H19" s="41">
        <f>SUM(H9:H18)</f>
        <v>215001.5</v>
      </c>
      <c r="I19" s="41">
        <f>SUM(I9:I18)</f>
        <v>0</v>
      </c>
      <c r="J19" s="41">
        <f>SUM(J9:J18)</f>
        <v>591488.53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53024.59</v>
      </c>
      <c r="H23" s="18">
        <v>94596.58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16728.61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186592.49+4565.24</f>
        <v>191157.72999999998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5903.81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207886.33999999997</v>
      </c>
      <c r="G33" s="41">
        <f>SUM(G23:G32)</f>
        <v>58928.399999999994</v>
      </c>
      <c r="H33" s="41">
        <f>SUM(H23:H32)</f>
        <v>94596.58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60000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357726.76</v>
      </c>
      <c r="G41" s="18">
        <v>-109.59</v>
      </c>
      <c r="H41" s="18">
        <v>120404.92</v>
      </c>
      <c r="I41" s="18"/>
      <c r="J41" s="13">
        <f>SUM(I449)</f>
        <v>591488.53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74128.24+380050.81</f>
        <v>454179.05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871905.81</v>
      </c>
      <c r="G43" s="41">
        <f>SUM(G35:G42)</f>
        <v>-109.59</v>
      </c>
      <c r="H43" s="41">
        <f>SUM(H35:H42)</f>
        <v>120404.92</v>
      </c>
      <c r="I43" s="41">
        <f>SUM(I35:I42)</f>
        <v>0</v>
      </c>
      <c r="J43" s="41">
        <f>SUM(J35:J42)</f>
        <v>591488.53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1079792.1499999999</v>
      </c>
      <c r="G44" s="41">
        <f>G43+G33</f>
        <v>58818.81</v>
      </c>
      <c r="H44" s="41">
        <f>H43+H33</f>
        <v>215001.5</v>
      </c>
      <c r="I44" s="41">
        <f>I43+I33</f>
        <v>0</v>
      </c>
      <c r="J44" s="41">
        <f>J43+J33</f>
        <v>591488.53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11100805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11100805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>
        <f>69477</f>
        <v>69477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f>50+51240.5</f>
        <v>51290.5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120767.5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15020.82+63.36</f>
        <v>15084.18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191775+27793+14395+8293</f>
        <v>242256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3235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46461.33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5058.93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23378.11</v>
      </c>
      <c r="G103" s="41">
        <f>SUM(G88:G102)</f>
        <v>242256</v>
      </c>
      <c r="H103" s="41">
        <f>SUM(H88:H102)</f>
        <v>46461.33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11124183.109999999</v>
      </c>
      <c r="G104" s="41">
        <f>G52+G103</f>
        <v>242256</v>
      </c>
      <c r="H104" s="41">
        <f>H52+H71+H86+H103</f>
        <v>167228.83000000002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3244748.61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2352763</f>
        <v>2352763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1244908.3899999999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6842419.9999999991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f>166443.96</f>
        <v>166443.96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268373.44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200928.71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17541.599999999999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4915.68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14850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653287.71</v>
      </c>
      <c r="G128" s="41">
        <f>SUM(G115:G127)</f>
        <v>4915.68</v>
      </c>
      <c r="H128" s="41">
        <f>SUM(H115:H127)</f>
        <v>14850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7495707.709999999</v>
      </c>
      <c r="G132" s="41">
        <f>G113+SUM(G128:G129)</f>
        <v>4915.68</v>
      </c>
      <c r="H132" s="41">
        <f>H113+SUM(H128:H131)</f>
        <v>14850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93189.54+3072+63212.42</f>
        <v>159473.96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(33153.41+14631.75+46048.36+6988.15+13677.87+34.72+28368.3)-128</f>
        <v>142774.56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157922.53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(287081.33+2000.8+203043.29)-172.3</f>
        <v>491953.12000000005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136321.28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136321.28</v>
      </c>
      <c r="G154" s="41">
        <f>SUM(G142:G153)</f>
        <v>157922.53</v>
      </c>
      <c r="H154" s="41">
        <f>SUM(H142:H153)</f>
        <v>794201.64000000013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3220.42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139541.70000000001</v>
      </c>
      <c r="G161" s="41">
        <f>G139+G154+SUM(G155:G160)</f>
        <v>157922.53</v>
      </c>
      <c r="H161" s="41">
        <f>H139+H154+SUM(H155:H160)</f>
        <v>794201.64000000013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 t="s">
        <v>310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8000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8000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8000</v>
      </c>
      <c r="J184" s="41">
        <f>J175</f>
        <v>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18759432.52</v>
      </c>
      <c r="G185" s="47">
        <f>G104+G132+G161+G184</f>
        <v>405094.20999999996</v>
      </c>
      <c r="H185" s="47">
        <f>H104+H132+H161+H184</f>
        <v>976280.4700000002</v>
      </c>
      <c r="I185" s="47">
        <f>I104+I132+I161+I184</f>
        <v>8000</v>
      </c>
      <c r="J185" s="47">
        <f>J104+J132+J184</f>
        <v>30000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3115760.07+3158.22+253335.78+16763.64+9758.22+10472.24+53439.72</f>
        <v>3462687.8900000006</v>
      </c>
      <c r="G189" s="18">
        <f>707320.67+67116.32+251771.61+4982.02+237674.7+76171.36+6015.84+3303.92</f>
        <v>1354356.4400000002</v>
      </c>
      <c r="H189" s="18">
        <f>(3619.39+5796.77+16446.93)-426.84</f>
        <v>25436.25</v>
      </c>
      <c r="I189" s="18">
        <f>66968.21+11241.53+58433.68+37096.54+359.02</f>
        <v>174098.98</v>
      </c>
      <c r="J189" s="18">
        <f>578.99+1543.13+1046.56+17250.87+44410.44</f>
        <v>64829.990000000005</v>
      </c>
      <c r="K189" s="18">
        <f>2439.78</f>
        <v>2439.7800000000002</v>
      </c>
      <c r="L189" s="19">
        <f>SUM(F189:K189)</f>
        <v>5083849.3300000019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359037.91+827213.59+244653.63+26871.11</f>
        <v>1457776.24</v>
      </c>
      <c r="G190" s="18">
        <f>306467.51+26941.32+88683.32+31318.21+25849.66+74590.54+3609.41</f>
        <v>557459.97000000009</v>
      </c>
      <c r="H190" s="18">
        <f>203078.51+21739.3</f>
        <v>224817.81</v>
      </c>
      <c r="I190" s="18">
        <f>2294.2+768.81+9664.61+120.73</f>
        <v>12848.35</v>
      </c>
      <c r="J190" s="18">
        <f>2885+1774.11</f>
        <v>4659.1099999999997</v>
      </c>
      <c r="K190" s="18"/>
      <c r="L190" s="19">
        <f>SUM(F190:K190)</f>
        <v>2257561.48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13581.54</f>
        <v>13581.54</v>
      </c>
      <c r="G192" s="18">
        <f>1039.02+388.37</f>
        <v>1427.3899999999999</v>
      </c>
      <c r="H192" s="18">
        <f>2460+6700</f>
        <v>9160</v>
      </c>
      <c r="I192" s="18">
        <f>218</f>
        <v>218</v>
      </c>
      <c r="J192" s="18">
        <f>491.8</f>
        <v>491.8</v>
      </c>
      <c r="K192" s="18">
        <f>470</f>
        <v>470</v>
      </c>
      <c r="L192" s="19">
        <f>SUM(F192:K192)</f>
        <v>25348.73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215451.54+145516.26</f>
        <v>360967.80000000005</v>
      </c>
      <c r="G194" s="18">
        <f>39030.14+5113.22+16080.74+16220.39+36960.98+3690.38+10632.37+10901.98</f>
        <v>138630.20000000001</v>
      </c>
      <c r="H194" s="18">
        <f>100+237280.33</f>
        <v>237380.33</v>
      </c>
      <c r="I194" s="18">
        <f>402.47+2260.11</f>
        <v>2662.58</v>
      </c>
      <c r="J194" s="18"/>
      <c r="K194" s="18"/>
      <c r="L194" s="19">
        <f t="shared" ref="L194:L200" si="0">SUM(F194:K194)</f>
        <v>739640.91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134045.29+15929.76</f>
        <v>149975.05000000002</v>
      </c>
      <c r="G195" s="18">
        <f>31483.68+2328.82+11078.59+1459.26+10051.42</f>
        <v>56401.77</v>
      </c>
      <c r="H195" s="18">
        <f>23047.95</f>
        <v>23047.95</v>
      </c>
      <c r="I195" s="18">
        <f>1868.54+17773.48+10399.04</f>
        <v>30041.06</v>
      </c>
      <c r="J195" s="18">
        <f>197.97+797.99</f>
        <v>995.96</v>
      </c>
      <c r="K195" s="18"/>
      <c r="L195" s="19">
        <f t="shared" si="0"/>
        <v>260461.79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3484+1238.66+1340+328795.32+82145.67</f>
        <v>417003.64999999997</v>
      </c>
      <c r="G196" s="18">
        <f>266.53+113.6+102.51+25426.5+134207.12+71061.27+33240.95</f>
        <v>264418.48000000004</v>
      </c>
      <c r="H196" s="18">
        <f>9190.57+28976.58+23.45+113738.4</f>
        <v>151929</v>
      </c>
      <c r="I196" s="18">
        <f>37230.04+17281.42</f>
        <v>54511.46</v>
      </c>
      <c r="J196" s="18">
        <f>87.09</f>
        <v>87.09</v>
      </c>
      <c r="K196" s="18">
        <f>3262.4+1470.03</f>
        <v>4732.43</v>
      </c>
      <c r="L196" s="19">
        <f t="shared" si="0"/>
        <v>892682.11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232613.94+157096.77+63830</f>
        <v>453540.70999999996</v>
      </c>
      <c r="G197" s="18">
        <f>112143.05+8553.38+34200.33+14390.09+22226.64+9527.18</f>
        <v>201040.66999999998</v>
      </c>
      <c r="H197" s="18">
        <f>26737.17+3629.46+1476.97+1153.89</f>
        <v>32997.49</v>
      </c>
      <c r="I197" s="18">
        <f>2103.9</f>
        <v>2103.9</v>
      </c>
      <c r="J197" s="18"/>
      <c r="K197" s="18"/>
      <c r="L197" s="19">
        <f t="shared" si="0"/>
        <v>689682.7699999999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240491.75+62560.29</f>
        <v>303052.03999999998</v>
      </c>
      <c r="G199" s="18">
        <f>56677.77+5252.71+19047.06+16393.77+22027.98</f>
        <v>119399.29</v>
      </c>
      <c r="H199" s="18">
        <f>8497.22+290861.1+50430.21+7459.94+37604.71+416.13+22197.36+49805.07+3175.8+11323.93</f>
        <v>481771.47</v>
      </c>
      <c r="I199" s="18">
        <f>38805.62+72426.99+3062.18+79085.95+1521.8+200+25124.43</f>
        <v>220226.96999999997</v>
      </c>
      <c r="J199" s="18">
        <f>302.85+8979.34+2771.47+12722.49</f>
        <v>24776.15</v>
      </c>
      <c r="K199" s="18"/>
      <c r="L199" s="19">
        <f t="shared" si="0"/>
        <v>1149225.92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4292.18+14342.35+340641.4+145449.68</f>
        <v>504725.61000000004</v>
      </c>
      <c r="I200" s="18">
        <f>278.29</f>
        <v>278.29000000000002</v>
      </c>
      <c r="J200" s="18"/>
      <c r="K200" s="18"/>
      <c r="L200" s="19">
        <f t="shared" si="0"/>
        <v>505003.9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4982.07</f>
        <v>4982.07</v>
      </c>
      <c r="I201" s="18"/>
      <c r="J201" s="18"/>
      <c r="K201" s="18"/>
      <c r="L201" s="19">
        <f>SUM(F201:K201)</f>
        <v>4982.07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6618584.9200000009</v>
      </c>
      <c r="G203" s="41">
        <f t="shared" si="1"/>
        <v>2693134.21</v>
      </c>
      <c r="H203" s="41">
        <f t="shared" si="1"/>
        <v>1696247.9800000002</v>
      </c>
      <c r="I203" s="41">
        <f t="shared" si="1"/>
        <v>496989.58999999997</v>
      </c>
      <c r="J203" s="41">
        <f t="shared" si="1"/>
        <v>95840.1</v>
      </c>
      <c r="K203" s="41">
        <f t="shared" si="1"/>
        <v>7642.2100000000009</v>
      </c>
      <c r="L203" s="41">
        <f t="shared" si="1"/>
        <v>11608439.010000004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1491499.73+4337.37+82927.7+1010.11+8256.72+4806.29+26321.06+5157.97</f>
        <v>1624316.9500000002</v>
      </c>
      <c r="G225" s="18">
        <f>434932.29+35473.1+111550.1+7049.8+111908.32+37517.24+2963.02+1627.3</f>
        <v>743021.17000000016</v>
      </c>
      <c r="H225" s="18">
        <f>4156.33+1500+8100.73</f>
        <v>13757.06</v>
      </c>
      <c r="I225" s="18">
        <f>61425.04+6381.52+39958.74+9161.26+176.83</f>
        <v>117103.38999999998</v>
      </c>
      <c r="J225" s="18">
        <f>635+23462.69+14970.74</f>
        <v>39068.43</v>
      </c>
      <c r="K225" s="18">
        <f>6262.53</f>
        <v>6262.53</v>
      </c>
      <c r="L225" s="19">
        <f>SUM(F225:K225)</f>
        <v>2543529.5300000003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206099.19+179247.45+120501.04+13235.02+170.85</f>
        <v>519253.55</v>
      </c>
      <c r="G226" s="18">
        <f>128780.85+10047.63+28315.71+12435.43+15493.95+31807.41+1777.77</f>
        <v>228658.75</v>
      </c>
      <c r="H226" s="18">
        <f>121+117131.53+327346.77+100023.75+10707.42</f>
        <v>555330.47000000009</v>
      </c>
      <c r="I226" s="18">
        <f>502.03+370.84+4760.18+59.46</f>
        <v>5692.51</v>
      </c>
      <c r="J226" s="18">
        <f>21.08+873.82</f>
        <v>894.90000000000009</v>
      </c>
      <c r="K226" s="18"/>
      <c r="L226" s="19">
        <f>SUM(F226:K226)</f>
        <v>1309830.18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364071.42</f>
        <v>364071.42</v>
      </c>
      <c r="I227" s="18"/>
      <c r="J227" s="18"/>
      <c r="K227" s="18"/>
      <c r="L227" s="19">
        <f>SUM(F227:K227)</f>
        <v>364071.42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54379.92</f>
        <v>54379.92</v>
      </c>
      <c r="G228" s="18">
        <f>4165.8+849.05</f>
        <v>5014.8500000000004</v>
      </c>
      <c r="H228" s="18">
        <f>19143+3300</f>
        <v>22443</v>
      </c>
      <c r="I228" s="18">
        <f>11899.97</f>
        <v>11899.97</v>
      </c>
      <c r="J228" s="18">
        <f>2893.21</f>
        <v>2893.21</v>
      </c>
      <c r="K228" s="18">
        <f>4625</f>
        <v>4625</v>
      </c>
      <c r="L228" s="19">
        <f>SUM(F228:K228)</f>
        <v>101255.95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162334.24+54187.09</f>
        <v>216521.33</v>
      </c>
      <c r="G230" s="18">
        <f>13663.68+3112.44+12352.59+12260.83+18447+1422.74+3915.54+4058.64</f>
        <v>69233.460000000006</v>
      </c>
      <c r="H230" s="18">
        <f>5103.77+1451.78+116869.41</f>
        <v>123424.96000000001</v>
      </c>
      <c r="I230" s="18">
        <f>1147.25+267.45+1179.49</f>
        <v>2594.19</v>
      </c>
      <c r="J230" s="18"/>
      <c r="K230" s="18">
        <v>100</v>
      </c>
      <c r="L230" s="19">
        <f t="shared" ref="L230:L236" si="4">SUM(F230:K230)</f>
        <v>411873.94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53993.81+12664.08</f>
        <v>66657.89</v>
      </c>
      <c r="G231" s="18">
        <f>844.8+5101.54+4046.27</f>
        <v>9992.61</v>
      </c>
      <c r="H231" s="18">
        <f>11351.98</f>
        <v>11351.98</v>
      </c>
      <c r="I231" s="18">
        <f>1790.27+12453.68+5121.92</f>
        <v>19365.870000000003</v>
      </c>
      <c r="J231" s="18"/>
      <c r="K231" s="18"/>
      <c r="L231" s="19">
        <f t="shared" si="4"/>
        <v>107368.35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1716+610.09+660+161943.97+40459.81</f>
        <v>205389.87</v>
      </c>
      <c r="G232" s="18">
        <f>131.27+55.95+50.49+12523.5+66102.02+35000.33+16372.41</f>
        <v>130235.97000000002</v>
      </c>
      <c r="H232" s="18">
        <f>4526.7+14272.05+11.55+56020.41</f>
        <v>74830.710000000006</v>
      </c>
      <c r="I232" s="18">
        <f>18337.19+8511.75</f>
        <v>26848.94</v>
      </c>
      <c r="J232" s="18">
        <f>42.9</f>
        <v>42.9</v>
      </c>
      <c r="K232" s="18">
        <f>1606.85+724.05</f>
        <v>2330.8999999999996</v>
      </c>
      <c r="L232" s="19">
        <f t="shared" si="4"/>
        <v>439679.2900000001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80499.9+95926.27+58999.98+50999.96</f>
        <v>286426.11</v>
      </c>
      <c r="G233" s="18">
        <f>79211.09+5832.86+21590.71+13559.81+10454.41+7867.14</f>
        <v>138516.02000000002</v>
      </c>
      <c r="H233" s="18">
        <f>12107.52+3952.09+3319.26+369.75</f>
        <v>19748.620000000003</v>
      </c>
      <c r="I233" s="18">
        <f>6905.91</f>
        <v>6905.91</v>
      </c>
      <c r="J233" s="18"/>
      <c r="K233" s="18"/>
      <c r="L233" s="19">
        <f t="shared" si="4"/>
        <v>451596.66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87523.11+30813.28</f>
        <v>118336.39</v>
      </c>
      <c r="G235" s="18">
        <f>17675.22+1155.3+6617.35+5676.86+10849.6</f>
        <v>41974.33</v>
      </c>
      <c r="H235" s="18">
        <f>767+239692.58+26000.61+6424.07+16330.18+8.5+22197.36+24530.86+1048.01+5577.46</f>
        <v>342576.63</v>
      </c>
      <c r="I235" s="18">
        <f>20283.35+39119.77+2297.38+30082.93+491.21+99.43+12374.72</f>
        <v>104748.79</v>
      </c>
      <c r="J235" s="18">
        <f>6137.85+18945.53+642+6266.3</f>
        <v>31991.679999999997</v>
      </c>
      <c r="K235" s="18"/>
      <c r="L235" s="19">
        <f t="shared" si="4"/>
        <v>639627.82000000007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65980+23303.03+2958.43+167778.6+71639.4</f>
        <v>331659.45999999996</v>
      </c>
      <c r="I236" s="18">
        <v>137.07</v>
      </c>
      <c r="J236" s="18"/>
      <c r="K236" s="18"/>
      <c r="L236" s="19">
        <f t="shared" si="4"/>
        <v>331796.52999999997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2453.86</f>
        <v>2453.86</v>
      </c>
      <c r="I237" s="18"/>
      <c r="J237" s="18"/>
      <c r="K237" s="18"/>
      <c r="L237" s="19">
        <f>SUM(F237:K237)</f>
        <v>2453.86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3091282.0100000002</v>
      </c>
      <c r="G239" s="41">
        <f t="shared" si="5"/>
        <v>1366647.1600000001</v>
      </c>
      <c r="H239" s="41">
        <f t="shared" si="5"/>
        <v>1861648.1700000002</v>
      </c>
      <c r="I239" s="41">
        <f t="shared" si="5"/>
        <v>295296.63999999996</v>
      </c>
      <c r="J239" s="41">
        <f t="shared" si="5"/>
        <v>74891.12</v>
      </c>
      <c r="K239" s="41">
        <f t="shared" si="5"/>
        <v>13318.429999999998</v>
      </c>
      <c r="L239" s="41">
        <f t="shared" si="5"/>
        <v>6703083.5300000012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9709866.9300000016</v>
      </c>
      <c r="G249" s="41">
        <f t="shared" si="8"/>
        <v>4059781.37</v>
      </c>
      <c r="H249" s="41">
        <f t="shared" si="8"/>
        <v>3557896.1500000004</v>
      </c>
      <c r="I249" s="41">
        <f t="shared" si="8"/>
        <v>792286.23</v>
      </c>
      <c r="J249" s="41">
        <f t="shared" si="8"/>
        <v>170731.22</v>
      </c>
      <c r="K249" s="41">
        <f t="shared" si="8"/>
        <v>20960.64</v>
      </c>
      <c r="L249" s="41">
        <f t="shared" si="8"/>
        <v>18311522.540000007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331901.52</v>
      </c>
      <c r="L252" s="19">
        <f>SUM(F252:K252)</f>
        <v>331901.52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11880.22</v>
      </c>
      <c r="L253" s="19">
        <f>SUM(F253:K253)</f>
        <v>11880.22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</v>
      </c>
      <c r="L258" s="19">
        <f t="shared" si="9"/>
        <v>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373781.74</v>
      </c>
      <c r="L262" s="41">
        <f t="shared" si="9"/>
        <v>373781.74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9709866.9300000016</v>
      </c>
      <c r="G263" s="42">
        <f t="shared" si="11"/>
        <v>4059781.37</v>
      </c>
      <c r="H263" s="42">
        <f t="shared" si="11"/>
        <v>3557896.1500000004</v>
      </c>
      <c r="I263" s="42">
        <f t="shared" si="11"/>
        <v>792286.23</v>
      </c>
      <c r="J263" s="42">
        <f t="shared" si="11"/>
        <v>170731.22</v>
      </c>
      <c r="K263" s="42">
        <f t="shared" si="11"/>
        <v>394742.38</v>
      </c>
      <c r="L263" s="42">
        <f t="shared" si="11"/>
        <v>18685304.280000005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5644.87+43652.65+11689.5+7867.68</f>
        <v>68854.700000000012</v>
      </c>
      <c r="G268" s="18">
        <v>3001.75</v>
      </c>
      <c r="H268" s="18">
        <f>850+404+2100+62.7+5224.1+25860+2380.64+120+516+75745.13+1233+682.87+29038.11+19150.48+18390.17</f>
        <v>181757.2</v>
      </c>
      <c r="I268" s="18">
        <f>65.6+2010.5+72.33+2867.34+2130.26+3456.17+2906.21+3030.7+26.97+1814.29+3062.3+616.59</f>
        <v>22059.260000000002</v>
      </c>
      <c r="J268" s="18">
        <f>29058.1</f>
        <v>29058.1</v>
      </c>
      <c r="K268" s="18">
        <f>34.72+2371.47+569.94</f>
        <v>2976.1299999999997</v>
      </c>
      <c r="L268" s="19">
        <f>SUM(F268:K268)</f>
        <v>307707.14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30152.55+126024.48</f>
        <v>156177.03</v>
      </c>
      <c r="G269" s="18">
        <f>42142.6</f>
        <v>42142.6</v>
      </c>
      <c r="H269" s="18">
        <f>25249.29+6567.81</f>
        <v>31817.100000000002</v>
      </c>
      <c r="I269" s="18">
        <f>1075+249.5+4182.26+2104.02</f>
        <v>7610.7800000000007</v>
      </c>
      <c r="J269" s="18">
        <f>94040.75+128</f>
        <v>94168.75</v>
      </c>
      <c r="K269" s="18"/>
      <c r="L269" s="19">
        <f>SUM(F269:K269)</f>
        <v>331916.26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29798.25+4682.06</f>
        <v>34480.31</v>
      </c>
      <c r="I273" s="18"/>
      <c r="J273" s="18"/>
      <c r="K273" s="18"/>
      <c r="L273" s="19">
        <f t="shared" ref="L273:L279" si="12">SUM(F273:K273)</f>
        <v>34480.31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(1213.93+249+300)-172.3</f>
        <v>1590.63</v>
      </c>
      <c r="I274" s="18"/>
      <c r="J274" s="18"/>
      <c r="K274" s="18"/>
      <c r="L274" s="19">
        <f t="shared" si="12"/>
        <v>1590.63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225031.73</v>
      </c>
      <c r="G282" s="42">
        <f t="shared" si="13"/>
        <v>45144.35</v>
      </c>
      <c r="H282" s="42">
        <f t="shared" si="13"/>
        <v>249645.24000000002</v>
      </c>
      <c r="I282" s="42">
        <f t="shared" si="13"/>
        <v>29670.04</v>
      </c>
      <c r="J282" s="42">
        <f t="shared" si="13"/>
        <v>123226.85</v>
      </c>
      <c r="K282" s="42">
        <f t="shared" si="13"/>
        <v>2976.1299999999997</v>
      </c>
      <c r="L282" s="41">
        <f t="shared" si="13"/>
        <v>675694.34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12766+21522.5+3875.12</f>
        <v>38163.620000000003</v>
      </c>
      <c r="G306" s="18">
        <f>2623.12+1971.48+956.2+617.01</f>
        <v>6167.81</v>
      </c>
      <c r="H306" s="18">
        <f>8810.52+6641.53+1551.88+3998.26+336.34+14302.36+9432.33+9057.84</f>
        <v>54131.06</v>
      </c>
      <c r="I306" s="18">
        <f>2933.94+893.6+1508.3+303.7</f>
        <v>5639.54</v>
      </c>
      <c r="J306" s="18">
        <f>5254.02+14610</f>
        <v>19864.02</v>
      </c>
      <c r="K306" s="18"/>
      <c r="L306" s="19">
        <f>SUM(F306:K306)</f>
        <v>123966.04999999999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14851.25+62071.76</f>
        <v>76923.010000000009</v>
      </c>
      <c r="G307" s="18">
        <f>18327.99</f>
        <v>18327.990000000002</v>
      </c>
      <c r="H307" s="18">
        <f>12436.21+3297.94</f>
        <v>15734.15</v>
      </c>
      <c r="I307" s="18">
        <f>2059.92+1036.31</f>
        <v>3096.23</v>
      </c>
      <c r="J307" s="18">
        <f>5907</f>
        <v>5907</v>
      </c>
      <c r="K307" s="18"/>
      <c r="L307" s="19">
        <f>SUM(F307:K307)</f>
        <v>119988.38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14676.75+2306.09</f>
        <v>16982.84</v>
      </c>
      <c r="I311" s="18"/>
      <c r="J311" s="18"/>
      <c r="K311" s="18"/>
      <c r="L311" s="19">
        <f t="shared" ref="L311:L317" si="16">SUM(F311:K311)</f>
        <v>16982.84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115086.63</v>
      </c>
      <c r="G320" s="42">
        <f t="shared" si="17"/>
        <v>24495.800000000003</v>
      </c>
      <c r="H320" s="42">
        <f t="shared" si="17"/>
        <v>86848.049999999988</v>
      </c>
      <c r="I320" s="42">
        <f t="shared" si="17"/>
        <v>8735.77</v>
      </c>
      <c r="J320" s="42">
        <f t="shared" si="17"/>
        <v>25771.02</v>
      </c>
      <c r="K320" s="42">
        <f t="shared" si="17"/>
        <v>0</v>
      </c>
      <c r="L320" s="41">
        <f t="shared" si="17"/>
        <v>260937.27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340118.36</v>
      </c>
      <c r="G330" s="41">
        <f t="shared" si="20"/>
        <v>69640.149999999994</v>
      </c>
      <c r="H330" s="41">
        <f t="shared" si="20"/>
        <v>336493.29000000004</v>
      </c>
      <c r="I330" s="41">
        <f t="shared" si="20"/>
        <v>38405.81</v>
      </c>
      <c r="J330" s="41">
        <f t="shared" si="20"/>
        <v>148997.87</v>
      </c>
      <c r="K330" s="41">
        <f t="shared" si="20"/>
        <v>2976.1299999999997</v>
      </c>
      <c r="L330" s="41">
        <f t="shared" si="20"/>
        <v>936631.61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340118.36</v>
      </c>
      <c r="G344" s="41">
        <f>G330</f>
        <v>69640.149999999994</v>
      </c>
      <c r="H344" s="41">
        <f>H330</f>
        <v>336493.29000000004</v>
      </c>
      <c r="I344" s="41">
        <f>I330</f>
        <v>38405.81</v>
      </c>
      <c r="J344" s="41">
        <f>J330</f>
        <v>148997.87</v>
      </c>
      <c r="K344" s="47">
        <f>K330+K343</f>
        <v>2976.1299999999997</v>
      </c>
      <c r="L344" s="41">
        <f>L330+L343</f>
        <v>936631.61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398044.54*0.67</f>
        <v>266689.84179999999</v>
      </c>
      <c r="I350" s="18"/>
      <c r="J350" s="18">
        <v>0</v>
      </c>
      <c r="K350" s="18"/>
      <c r="L350" s="13">
        <f>SUM(F350:K350)</f>
        <v>266689.84179999999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398044.54*0.33</f>
        <v>131354.69820000001</v>
      </c>
      <c r="I352" s="18"/>
      <c r="J352" s="18">
        <v>0</v>
      </c>
      <c r="K352" s="18"/>
      <c r="L352" s="19">
        <f>SUM(F352:K352)</f>
        <v>131354.69820000001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398044.54000000004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398044.54000000004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>
        <v>0</v>
      </c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/>
      <c r="H360" s="63">
        <v>0</v>
      </c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>
        <v>8000</v>
      </c>
      <c r="K370" s="18"/>
      <c r="L370" s="13">
        <f t="shared" si="23"/>
        <v>8000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8000</v>
      </c>
      <c r="K374" s="47">
        <f t="shared" si="24"/>
        <v>0</v>
      </c>
      <c r="L374" s="47">
        <f t="shared" si="24"/>
        <v>8000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30000</v>
      </c>
      <c r="H392" s="18"/>
      <c r="I392" s="18"/>
      <c r="J392" s="24" t="s">
        <v>312</v>
      </c>
      <c r="K392" s="24" t="s">
        <v>312</v>
      </c>
      <c r="L392" s="56">
        <f t="shared" si="26"/>
        <v>30000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8000</v>
      </c>
      <c r="L410" s="56">
        <f t="shared" si="27"/>
        <v>8000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8000</v>
      </c>
      <c r="L411" s="47">
        <f t="shared" si="28"/>
        <v>8000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8000</v>
      </c>
      <c r="L426" s="47">
        <f t="shared" si="32"/>
        <v>8000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591488.53</v>
      </c>
      <c r="G433" s="18"/>
      <c r="H433" s="18"/>
      <c r="I433" s="56">
        <f t="shared" si="33"/>
        <v>591488.53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591488.53</v>
      </c>
      <c r="G438" s="13">
        <f>SUM(G431:G437)</f>
        <v>0</v>
      </c>
      <c r="H438" s="13">
        <f>SUM(H431:H437)</f>
        <v>0</v>
      </c>
      <c r="I438" s="13">
        <f>SUM(I431:I437)</f>
        <v>591488.53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591488.53</v>
      </c>
      <c r="G449" s="18"/>
      <c r="H449" s="18"/>
      <c r="I449" s="56">
        <f>SUM(F449:H449)</f>
        <v>591488.53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591488.53</v>
      </c>
      <c r="G450" s="83">
        <f>SUM(G446:G449)</f>
        <v>0</v>
      </c>
      <c r="H450" s="83">
        <f>SUM(H446:H449)</f>
        <v>0</v>
      </c>
      <c r="I450" s="83">
        <f>SUM(I446:I449)</f>
        <v>591488.53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591488.53</v>
      </c>
      <c r="G451" s="42">
        <f>G444+G450</f>
        <v>0</v>
      </c>
      <c r="H451" s="42">
        <f>H444+H450</f>
        <v>0</v>
      </c>
      <c r="I451" s="42">
        <f>I444+I450</f>
        <v>591488.53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797777.57</v>
      </c>
      <c r="G455" s="18">
        <v>-7159.26</v>
      </c>
      <c r="H455" s="18">
        <v>80756.06</v>
      </c>
      <c r="I455" s="18">
        <v>0</v>
      </c>
      <c r="J455" s="18">
        <v>567954.05000000005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19800132.52-1040700</f>
        <v>18759432.52</v>
      </c>
      <c r="G458" s="18">
        <v>405094.21</v>
      </c>
      <c r="H458" s="18">
        <f>794201.64+69477+66140.5+46461.33</f>
        <v>976280.47</v>
      </c>
      <c r="I458" s="18">
        <v>8000</v>
      </c>
      <c r="J458" s="18">
        <v>30000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 t="s">
        <v>310</v>
      </c>
      <c r="J459" s="18">
        <v>1534.48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18759432.52</v>
      </c>
      <c r="G460" s="53">
        <f>SUM(G458:G459)</f>
        <v>405094.21</v>
      </c>
      <c r="H460" s="53">
        <f>SUM(H458:H459)</f>
        <v>976280.47</v>
      </c>
      <c r="I460" s="53">
        <f>SUM(I458:I459)</f>
        <v>8000</v>
      </c>
      <c r="J460" s="53">
        <f>SUM(J458:J459)</f>
        <v>31534.48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19726004.28-1040700</f>
        <v>18685304.280000001</v>
      </c>
      <c r="G462" s="18">
        <v>398044.54</v>
      </c>
      <c r="H462" s="18">
        <f>791129.64+48656.3+62933.38+33912.29</f>
        <v>936631.6100000001</v>
      </c>
      <c r="I462" s="18">
        <v>8000</v>
      </c>
      <c r="J462" s="18">
        <v>8000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18685304.280000001</v>
      </c>
      <c r="G464" s="53">
        <f>SUM(G462:G463)</f>
        <v>398044.54</v>
      </c>
      <c r="H464" s="53">
        <f>SUM(H462:H463)</f>
        <v>936631.6100000001</v>
      </c>
      <c r="I464" s="53">
        <f>SUM(I462:I463)</f>
        <v>8000</v>
      </c>
      <c r="J464" s="53">
        <f>SUM(J462:J463)</f>
        <v>8000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871905.80999999866</v>
      </c>
      <c r="G466" s="53">
        <f>(G455+G460)- G464</f>
        <v>-109.5899999999674</v>
      </c>
      <c r="H466" s="53">
        <f>(H455+H460)- H464</f>
        <v>120404.91999999993</v>
      </c>
      <c r="I466" s="53">
        <f>(I455+I460)- I464</f>
        <v>0</v>
      </c>
      <c r="J466" s="53">
        <f>(J455+J460)- J464</f>
        <v>591488.53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2266101.9500000002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331901.52</v>
      </c>
      <c r="G485" s="18"/>
      <c r="H485" s="18"/>
      <c r="I485" s="18"/>
      <c r="J485" s="18"/>
      <c r="K485" s="53">
        <f>SUM(F485:J485)</f>
        <v>331901.52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331901.52</v>
      </c>
      <c r="G487" s="18"/>
      <c r="H487" s="18"/>
      <c r="I487" s="18"/>
      <c r="J487" s="18"/>
      <c r="K487" s="53">
        <f t="shared" si="34"/>
        <v>331901.52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359037.91+827213.59</f>
        <v>1186251.5</v>
      </c>
      <c r="G511" s="18">
        <f>306467.51+26941.32+88683.32+31318.21+25849.66</f>
        <v>479260.02</v>
      </c>
      <c r="H511" s="18"/>
      <c r="I511" s="18">
        <f>2294.2+768.81</f>
        <v>3063.0099999999998</v>
      </c>
      <c r="J511" s="18"/>
      <c r="K511" s="18"/>
      <c r="L511" s="88">
        <f>SUM(F511:K511)</f>
        <v>1668574.53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206099.19+179247.45</f>
        <v>385346.64</v>
      </c>
      <c r="G513" s="18">
        <f>195073.57</f>
        <v>195073.57</v>
      </c>
      <c r="H513" s="18">
        <f>444478.3</f>
        <v>444478.3</v>
      </c>
      <c r="I513" s="18">
        <f>502.03+491.84</f>
        <v>993.86999999999989</v>
      </c>
      <c r="J513" s="18">
        <f>21.08</f>
        <v>21.08</v>
      </c>
      <c r="K513" s="18"/>
      <c r="L513" s="88">
        <f>SUM(F513:K513)</f>
        <v>1025913.46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1571598.1400000001</v>
      </c>
      <c r="G514" s="108">
        <f t="shared" ref="G514:L514" si="35">SUM(G511:G513)</f>
        <v>674333.59000000008</v>
      </c>
      <c r="H514" s="108">
        <f t="shared" si="35"/>
        <v>444478.3</v>
      </c>
      <c r="I514" s="108">
        <f t="shared" si="35"/>
        <v>4056.8799999999997</v>
      </c>
      <c r="J514" s="108">
        <f t="shared" si="35"/>
        <v>21.08</v>
      </c>
      <c r="K514" s="108">
        <f t="shared" si="35"/>
        <v>0</v>
      </c>
      <c r="L514" s="89">
        <f t="shared" si="35"/>
        <v>2694487.99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365154.67*0.67</f>
        <v>244653.62890000001</v>
      </c>
      <c r="G516" s="18">
        <f>108329.17*0.67</f>
        <v>72580.543900000004</v>
      </c>
      <c r="H516" s="18">
        <f>292723.49*0.67</f>
        <v>196124.7383</v>
      </c>
      <c r="I516" s="18">
        <f>14054.38*0.67</f>
        <v>9416.4346000000005</v>
      </c>
      <c r="J516" s="18">
        <f>2647.93*0.67</f>
        <v>1774.1131</v>
      </c>
      <c r="K516" s="18"/>
      <c r="L516" s="88">
        <f>SUM(F516:K516)</f>
        <v>524549.45880000002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365154.67*0.33</f>
        <v>120501.0411</v>
      </c>
      <c r="G518" s="18">
        <f>108329.17*0.33</f>
        <v>35748.626100000001</v>
      </c>
      <c r="H518" s="18">
        <f>292723.49*0.33</f>
        <v>96598.751700000008</v>
      </c>
      <c r="I518" s="18">
        <f>14054.38*0.33</f>
        <v>4637.9453999999996</v>
      </c>
      <c r="J518" s="18">
        <f>2647.93*0.33</f>
        <v>873.81690000000003</v>
      </c>
      <c r="K518" s="18"/>
      <c r="L518" s="88">
        <f>SUM(F518:K518)</f>
        <v>258360.18119999999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365154.67000000004</v>
      </c>
      <c r="G519" s="89">
        <f t="shared" ref="G519:L519" si="36">SUM(G516:G518)</f>
        <v>108329.17000000001</v>
      </c>
      <c r="H519" s="89">
        <f t="shared" si="36"/>
        <v>292723.49</v>
      </c>
      <c r="I519" s="89">
        <f t="shared" si="36"/>
        <v>14054.380000000001</v>
      </c>
      <c r="J519" s="89">
        <f t="shared" si="36"/>
        <v>2647.9300000000003</v>
      </c>
      <c r="K519" s="89">
        <f t="shared" si="36"/>
        <v>0</v>
      </c>
      <c r="L519" s="89">
        <f t="shared" si="36"/>
        <v>782909.64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82145.67</v>
      </c>
      <c r="G521" s="18">
        <v>33240.949999999997</v>
      </c>
      <c r="H521" s="18">
        <f>7746.8*0.67</f>
        <v>5190.3560000000007</v>
      </c>
      <c r="I521" s="18">
        <f>370.41*0.67</f>
        <v>248.17470000000003</v>
      </c>
      <c r="J521" s="18"/>
      <c r="K521" s="18"/>
      <c r="L521" s="88">
        <f>SUM(F521:K521)</f>
        <v>120825.1507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40459.81</v>
      </c>
      <c r="G523" s="18">
        <v>16372.41</v>
      </c>
      <c r="H523" s="18">
        <f>7746.8*0.33</f>
        <v>2556.444</v>
      </c>
      <c r="I523" s="18">
        <f>370.41*0.33</f>
        <v>122.23530000000001</v>
      </c>
      <c r="J523" s="18"/>
      <c r="K523" s="18"/>
      <c r="L523" s="88">
        <f>SUM(F523:K523)</f>
        <v>59510.899300000005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122605.48</v>
      </c>
      <c r="G524" s="89">
        <f t="shared" ref="G524:L524" si="37">SUM(G521:G523)</f>
        <v>49613.36</v>
      </c>
      <c r="H524" s="89">
        <f t="shared" si="37"/>
        <v>7746.8000000000011</v>
      </c>
      <c r="I524" s="89">
        <f t="shared" si="37"/>
        <v>370.41</v>
      </c>
      <c r="J524" s="89">
        <f t="shared" si="37"/>
        <v>0</v>
      </c>
      <c r="K524" s="89">
        <f t="shared" si="37"/>
        <v>0</v>
      </c>
      <c r="L524" s="89">
        <f t="shared" si="37"/>
        <v>180336.05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2631.97*0.67</f>
        <v>1763.4198999999999</v>
      </c>
      <c r="I526" s="18"/>
      <c r="J526" s="18"/>
      <c r="K526" s="18"/>
      <c r="L526" s="88">
        <f>SUM(F526:K526)</f>
        <v>1763.4198999999999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2631.97*0.33</f>
        <v>868.55009999999993</v>
      </c>
      <c r="I528" s="18"/>
      <c r="J528" s="18"/>
      <c r="K528" s="18"/>
      <c r="L528" s="88">
        <f>SUM(F528:K528)</f>
        <v>868.55009999999993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2631.97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2631.97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145449.68</v>
      </c>
      <c r="I531" s="18"/>
      <c r="J531" s="18" t="s">
        <v>310</v>
      </c>
      <c r="K531" s="18"/>
      <c r="L531" s="88">
        <f>SUM(F531:K531)</f>
        <v>145449.68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 t="s">
        <v>310</v>
      </c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71639.399999999994</v>
      </c>
      <c r="I533" s="18"/>
      <c r="J533" s="18" t="s">
        <v>310</v>
      </c>
      <c r="K533" s="18"/>
      <c r="L533" s="88">
        <f>SUM(F533:K533)</f>
        <v>71639.399999999994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217089.08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217089.08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2059358.29</v>
      </c>
      <c r="G535" s="89">
        <f t="shared" ref="G535:L535" si="40">G514+G519+G524+G529+G534</f>
        <v>832276.12000000011</v>
      </c>
      <c r="H535" s="89">
        <f t="shared" si="40"/>
        <v>964669.64</v>
      </c>
      <c r="I535" s="89">
        <f t="shared" si="40"/>
        <v>18481.670000000002</v>
      </c>
      <c r="J535" s="89">
        <f t="shared" si="40"/>
        <v>2669.01</v>
      </c>
      <c r="K535" s="89">
        <f t="shared" si="40"/>
        <v>0</v>
      </c>
      <c r="L535" s="89">
        <f t="shared" si="40"/>
        <v>3877454.7300000004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1668574.53</v>
      </c>
      <c r="G539" s="87">
        <f>L516</f>
        <v>524549.45880000002</v>
      </c>
      <c r="H539" s="87">
        <f>L521</f>
        <v>120825.1507</v>
      </c>
      <c r="I539" s="87">
        <f>L526</f>
        <v>1763.4198999999999</v>
      </c>
      <c r="J539" s="87">
        <f>L531</f>
        <v>145449.68</v>
      </c>
      <c r="K539" s="87">
        <f>SUM(F539:J539)</f>
        <v>2461162.2394000003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1025913.46</v>
      </c>
      <c r="G541" s="87">
        <f>L518</f>
        <v>258360.18119999999</v>
      </c>
      <c r="H541" s="87">
        <f>L523</f>
        <v>59510.899300000005</v>
      </c>
      <c r="I541" s="87">
        <f>L528</f>
        <v>868.55009999999993</v>
      </c>
      <c r="J541" s="87">
        <f>L533</f>
        <v>71639.399999999994</v>
      </c>
      <c r="K541" s="87">
        <f>SUM(F541:J541)</f>
        <v>1416292.4905999999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2694487.99</v>
      </c>
      <c r="G542" s="89">
        <f t="shared" si="41"/>
        <v>782909.64</v>
      </c>
      <c r="H542" s="89">
        <f t="shared" si="41"/>
        <v>180336.05</v>
      </c>
      <c r="I542" s="89">
        <f t="shared" si="41"/>
        <v>2631.97</v>
      </c>
      <c r="J542" s="89">
        <f t="shared" si="41"/>
        <v>217089.08</v>
      </c>
      <c r="K542" s="89">
        <f t="shared" si="41"/>
        <v>3877454.7300000004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 t="s">
        <v>310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117131.53</v>
      </c>
      <c r="I570" s="87">
        <f t="shared" si="46"/>
        <v>117131.53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244083.56+18585.01</f>
        <v>262668.57</v>
      </c>
      <c r="G572" s="18"/>
      <c r="H572" s="18">
        <f>327346.77+9153.81</f>
        <v>336500.58</v>
      </c>
      <c r="I572" s="87">
        <f t="shared" si="46"/>
        <v>599169.15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364071.42</v>
      </c>
      <c r="I575" s="87">
        <f t="shared" si="46"/>
        <v>364071.42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340919.69</v>
      </c>
      <c r="I581" s="18"/>
      <c r="J581" s="18">
        <v>167915.67</v>
      </c>
      <c r="K581" s="104">
        <f t="shared" ref="K581:K587" si="47">SUM(H581:J581)</f>
        <v>508835.36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145449.68</v>
      </c>
      <c r="I582" s="18"/>
      <c r="J582" s="18">
        <v>71639.399999999994</v>
      </c>
      <c r="K582" s="104">
        <f t="shared" si="47"/>
        <v>217089.08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65980</f>
        <v>65980</v>
      </c>
      <c r="K583" s="104">
        <f t="shared" si="47"/>
        <v>65980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4292.18</f>
        <v>4292.18</v>
      </c>
      <c r="I584" s="18"/>
      <c r="J584" s="18">
        <f>23303.03</f>
        <v>23303.03</v>
      </c>
      <c r="K584" s="104">
        <f t="shared" si="47"/>
        <v>27595.21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2947.82+3698.02+7696.51</f>
        <v>14342.35</v>
      </c>
      <c r="I585" s="18"/>
      <c r="J585" s="18">
        <f>2958.43</f>
        <v>2958.43</v>
      </c>
      <c r="K585" s="104">
        <f t="shared" si="47"/>
        <v>17300.78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505003.89999999997</v>
      </c>
      <c r="I588" s="108">
        <f>SUM(I581:I587)</f>
        <v>0</v>
      </c>
      <c r="J588" s="108">
        <f>SUM(J581:J587)</f>
        <v>331796.52999999997</v>
      </c>
      <c r="K588" s="108">
        <f>SUM(K581:K587)</f>
        <v>836800.42999999993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f>82048.45</f>
        <v>82048.45</v>
      </c>
      <c r="I593" s="18"/>
      <c r="J593" s="18"/>
      <c r="K593" s="104">
        <f>SUM(H593:J593)</f>
        <v>82048.45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121411.01</v>
      </c>
      <c r="I594" s="18"/>
      <c r="J594" s="18">
        <f>116269.63</f>
        <v>116269.63</v>
      </c>
      <c r="K594" s="104">
        <f>SUM(H594:J594)</f>
        <v>237680.64000000001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203459.46</v>
      </c>
      <c r="I595" s="108">
        <f>SUM(I592:I594)</f>
        <v>0</v>
      </c>
      <c r="J595" s="108">
        <f>SUM(J592:J594)</f>
        <v>116269.63</v>
      </c>
      <c r="K595" s="108">
        <f>SUM(K592:K594)</f>
        <v>319729.09000000003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26985.58</v>
      </c>
      <c r="G601" s="18">
        <v>3609.41</v>
      </c>
      <c r="H601" s="18">
        <v>21739.3</v>
      </c>
      <c r="I601" s="18">
        <v>120.73</v>
      </c>
      <c r="J601" s="18"/>
      <c r="K601" s="18"/>
      <c r="L601" s="88">
        <f>SUM(F601:K601)</f>
        <v>52455.020000000004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13291.4</v>
      </c>
      <c r="G603" s="18">
        <v>1777.77</v>
      </c>
      <c r="H603" s="18">
        <v>10707.42</v>
      </c>
      <c r="I603" s="18">
        <v>59.46</v>
      </c>
      <c r="J603" s="18"/>
      <c r="K603" s="18"/>
      <c r="L603" s="88">
        <f>SUM(F603:K603)</f>
        <v>25836.05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40276.980000000003</v>
      </c>
      <c r="G604" s="108">
        <f t="shared" si="48"/>
        <v>5387.18</v>
      </c>
      <c r="H604" s="108">
        <f t="shared" si="48"/>
        <v>32446.720000000001</v>
      </c>
      <c r="I604" s="108">
        <f t="shared" si="48"/>
        <v>180.19</v>
      </c>
      <c r="J604" s="108">
        <f t="shared" si="48"/>
        <v>0</v>
      </c>
      <c r="K604" s="108">
        <f t="shared" si="48"/>
        <v>0</v>
      </c>
      <c r="L604" s="89">
        <f t="shared" si="48"/>
        <v>78291.070000000007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1079792.1499999999</v>
      </c>
      <c r="H607" s="109">
        <f>SUM(F44)</f>
        <v>1079792.1499999999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58818.81</v>
      </c>
      <c r="H608" s="109">
        <f>SUM(G44)</f>
        <v>58818.81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215001.5</v>
      </c>
      <c r="H609" s="109">
        <f>SUM(H44)</f>
        <v>215001.5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591488.53</v>
      </c>
      <c r="H611" s="109">
        <f>SUM(J44)</f>
        <v>591488.53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871905.81</v>
      </c>
      <c r="H612" s="109">
        <f>F466</f>
        <v>871905.80999999866</v>
      </c>
      <c r="I612" s="121" t="s">
        <v>106</v>
      </c>
      <c r="J612" s="109">
        <f t="shared" ref="J612:J645" si="49">G612-H612</f>
        <v>1.3969838619232178E-9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-109.59</v>
      </c>
      <c r="H613" s="109">
        <f>G466</f>
        <v>-109.5899999999674</v>
      </c>
      <c r="I613" s="121" t="s">
        <v>108</v>
      </c>
      <c r="J613" s="109">
        <f t="shared" si="49"/>
        <v>-3.2599700716673397E-11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120404.92</v>
      </c>
      <c r="H614" s="109">
        <f>H466</f>
        <v>120404.91999999993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591488.53</v>
      </c>
      <c r="H616" s="109">
        <f>J466</f>
        <v>591488.53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18759432.52</v>
      </c>
      <c r="H617" s="104">
        <f>SUM(F458)</f>
        <v>18759432.52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405094.20999999996</v>
      </c>
      <c r="H618" s="104">
        <f>SUM(G458)</f>
        <v>405094.21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976280.4700000002</v>
      </c>
      <c r="H619" s="104">
        <f>SUM(H458)</f>
        <v>976280.47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8000</v>
      </c>
      <c r="H620" s="104">
        <f>SUM(I458)</f>
        <v>8000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30000</v>
      </c>
      <c r="H621" s="104">
        <f>SUM(J458)</f>
        <v>30000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18685304.280000005</v>
      </c>
      <c r="H622" s="104">
        <f>SUM(F462)</f>
        <v>18685304.280000001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936631.61</v>
      </c>
      <c r="H623" s="104">
        <f>SUM(H462)</f>
        <v>936631.6100000001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398044.54000000004</v>
      </c>
      <c r="H625" s="104">
        <f>SUM(G462)</f>
        <v>398044.54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8000</v>
      </c>
      <c r="H626" s="104">
        <f>SUM(I462)</f>
        <v>8000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30000</v>
      </c>
      <c r="H627" s="164">
        <f>SUM(J458)</f>
        <v>30000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8000</v>
      </c>
      <c r="H628" s="164">
        <f>SUM(J462)</f>
        <v>8000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591488.53</v>
      </c>
      <c r="H629" s="104">
        <f>SUM(F451)</f>
        <v>591488.53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591488.53</v>
      </c>
      <c r="H632" s="104">
        <f>SUM(I451)</f>
        <v>591488.53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</v>
      </c>
      <c r="H635" s="104">
        <f>G400</f>
        <v>30000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30000</v>
      </c>
      <c r="H636" s="104">
        <f>L400</f>
        <v>30000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836800.42999999993</v>
      </c>
      <c r="H637" s="104">
        <f>L200+L218+L236</f>
        <v>836800.42999999993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319729.09000000003</v>
      </c>
      <c r="H638" s="104">
        <f>(J249+J330)-(J247+J328)</f>
        <v>319729.08999999997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505003.9</v>
      </c>
      <c r="H639" s="104">
        <f>H588</f>
        <v>505003.89999999997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331796.52999999997</v>
      </c>
      <c r="H641" s="104">
        <f>J588</f>
        <v>331796.52999999997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</v>
      </c>
      <c r="H645" s="104">
        <f>K258+K339</f>
        <v>30000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12550823.191800004</v>
      </c>
      <c r="G650" s="19">
        <f>(L221+L301+L351)</f>
        <v>0</v>
      </c>
      <c r="H650" s="19">
        <f>(L239+L320+L352)</f>
        <v>7095375.4982000012</v>
      </c>
      <c r="I650" s="19">
        <f>SUM(F650:H650)</f>
        <v>19646198.690000005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162311.51999999999</v>
      </c>
      <c r="G651" s="19">
        <f>(L351/IF(SUM(L350:L352)=0,1,SUM(L350:L352))*(SUM(G89:G102)))</f>
        <v>0</v>
      </c>
      <c r="H651" s="19">
        <f>(L352/IF(SUM(L350:L352)=0,1,SUM(L350:L352))*(SUM(G89:G102)))</f>
        <v>79944.48000000001</v>
      </c>
      <c r="I651" s="19">
        <f>SUM(F651:H651)</f>
        <v>242256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505003.9</v>
      </c>
      <c r="G652" s="19">
        <f>(L218+L298)-(J218+J298)</f>
        <v>0</v>
      </c>
      <c r="H652" s="19">
        <f>(L236+L317)-(J236+J317)</f>
        <v>331796.52999999997</v>
      </c>
      <c r="I652" s="19">
        <f>SUM(F652:H652)</f>
        <v>836800.42999999993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518583.05000000005</v>
      </c>
      <c r="G653" s="200">
        <f>SUM(G565:G577)+SUM(I592:I594)+L602</f>
        <v>0</v>
      </c>
      <c r="H653" s="200">
        <f>SUM(H565:H577)+SUM(J592:J594)+L603</f>
        <v>959809.21000000008</v>
      </c>
      <c r="I653" s="19">
        <f>SUM(F653:H653)</f>
        <v>1478392.2600000002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11364924.721800003</v>
      </c>
      <c r="G654" s="19">
        <f>G650-SUM(G651:G653)</f>
        <v>0</v>
      </c>
      <c r="H654" s="19">
        <f>H650-SUM(H651:H653)</f>
        <v>5723825.2782000005</v>
      </c>
      <c r="I654" s="19">
        <f>I650-SUM(I651:I653)</f>
        <v>17088750.000000004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898.25</v>
      </c>
      <c r="G655" s="249"/>
      <c r="H655" s="249">
        <v>420.6</v>
      </c>
      <c r="I655" s="19">
        <f>SUM(F655:H655)</f>
        <v>1318.85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12652.3</v>
      </c>
      <c r="G657" s="19" t="e">
        <f>ROUND(G654/G655,2)</f>
        <v>#DIV/0!</v>
      </c>
      <c r="H657" s="19">
        <f>ROUND(H654/H655,2)</f>
        <v>13608.71</v>
      </c>
      <c r="I657" s="19">
        <f>ROUND(I654/I655,2)</f>
        <v>12957.31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-26.7</v>
      </c>
      <c r="I660" s="19">
        <f>SUM(F660:H660)</f>
        <v>-26.7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12652.3</v>
      </c>
      <c r="G662" s="19" t="e">
        <f>ROUND((G654+G659)/(G655+G660),2)</f>
        <v>#DIV/0!</v>
      </c>
      <c r="H662" s="19">
        <f>ROUND((H654+H659)/(H655+H660),2)</f>
        <v>14531.16</v>
      </c>
      <c r="I662" s="19">
        <f>ROUND((I654+I659)/(I655+I660),2)</f>
        <v>13225.05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EA02-64FA-4EC3-86AE-289282DCDC81}">
  <sheetPr>
    <tabColor indexed="20"/>
  </sheetPr>
  <dimension ref="A1:C52"/>
  <sheetViews>
    <sheetView topLeftCell="A4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Mascoma Valley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5194023.1600000011</v>
      </c>
      <c r="C9" s="230">
        <f>'DOE25'!G189+'DOE25'!G207+'DOE25'!G225+'DOE25'!G268+'DOE25'!G287+'DOE25'!G306</f>
        <v>2106547.1700000004</v>
      </c>
    </row>
    <row r="10" spans="1:3" x14ac:dyDescent="0.2">
      <c r="A10" t="s">
        <v>813</v>
      </c>
      <c r="B10" s="241">
        <f>4624647.47+43652.65+12766</f>
        <v>4681066.12</v>
      </c>
      <c r="C10" s="241">
        <f>227508.56+205094.66+226418.23+410640.84+19413.48+16320.44+27692.12+32360.76+90.65+69102.77+61093.35+101063.14+102323.44+894.3+898.32+3318.91+431.82+70662.97+63011.39+102748.96+109227.03+817.36+1612.41+422.8+12125+63.41+18000+976.63+956.2</f>
        <v>1885289.9499999997</v>
      </c>
    </row>
    <row r="11" spans="1:3" x14ac:dyDescent="0.2">
      <c r="A11" t="s">
        <v>814</v>
      </c>
      <c r="B11" s="241">
        <f>347952.98+21522.5</f>
        <v>369475.48</v>
      </c>
      <c r="C11" s="241">
        <f>48299.22+24291.45+3690.28+3112.34+9817.79+5433.84+3946.26+6092.12+4982.02+7049.8+1646.49+1971.48</f>
        <v>120333.08999999998</v>
      </c>
    </row>
    <row r="12" spans="1:3" x14ac:dyDescent="0.2">
      <c r="A12" t="s">
        <v>815</v>
      </c>
      <c r="B12" s="241">
        <f>32515.95+14564.51+1010.11+79760.78+15630.21</f>
        <v>143481.56</v>
      </c>
      <c r="C12" s="241">
        <f>74174.59+6784.74+1114.17+721.51+1314.46+3134.54+1251.38+2681.29+6666.44+844.8+667.92+799.7+768.59</f>
        <v>100924.12999999999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5194023.1599999992</v>
      </c>
      <c r="C13" s="232">
        <f>SUM(C10:C12)</f>
        <v>2106547.17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2210129.83</v>
      </c>
      <c r="C18" s="230">
        <f>'DOE25'!G190+'DOE25'!G208+'DOE25'!G226+'DOE25'!G269+'DOE25'!G288+'DOE25'!G307</f>
        <v>846589.31</v>
      </c>
    </row>
    <row r="19" spans="1:3" x14ac:dyDescent="0.2">
      <c r="A19" t="s">
        <v>813</v>
      </c>
      <c r="B19" s="241">
        <f>952251.43+1094.42+20780.14</f>
        <v>974125.99000000011</v>
      </c>
      <c r="C19" s="241">
        <f>24360.7+24546.12+35751.06+66739.22+49503.96+13332.92+1875.74+4268.42+5091.13+4143.36+1875.74+1452.1+18.81+7810.66+7421.5+11175+15095.09+14338.53+176.67+50896.63+1015.72+12.47+3000+83.72+94.88+3081.2+1132.02</f>
        <v>348293.37</v>
      </c>
    </row>
    <row r="20" spans="1:3" x14ac:dyDescent="0.2">
      <c r="A20" t="s">
        <v>814</v>
      </c>
      <c r="B20" s="241">
        <f>1115161.69+19496.84</f>
        <v>1134658.53</v>
      </c>
      <c r="C20" s="241">
        <f>72590.67+20318.58+86521.86+79276.89+5566+2720.52+7419.51+5904.27+238.68+25331.23+17533.18+19389.13+13220.62+9656.4+5777.94+15883.87+12435.43+1173.96</f>
        <v>400958.74000000005</v>
      </c>
    </row>
    <row r="21" spans="1:3" x14ac:dyDescent="0.2">
      <c r="A21" t="s">
        <v>815</v>
      </c>
      <c r="B21" s="241">
        <f>41599.98+205.68+14816.07+44723.58</f>
        <v>101345.31</v>
      </c>
      <c r="C21" s="241">
        <f>35340.2+5454.36+1811.17+2910.15+1164.06+3368.6+15433.86+7577.06+704.98+22.62+3155.77+7734.66+3810.6+8849.11</f>
        <v>97337.2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2210129.83</v>
      </c>
      <c r="C22" s="232">
        <f>SUM(C19:C21)</f>
        <v>846589.31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67961.459999999992</v>
      </c>
      <c r="C36" s="236">
        <f>'DOE25'!G192+'DOE25'!G210+'DOE25'!G228+'DOE25'!G271+'DOE25'!G290+'DOE25'!G309</f>
        <v>6442.24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67961.46</f>
        <v>67961.460000000006</v>
      </c>
      <c r="C39" s="241">
        <f>5204.82+1237.42</f>
        <v>6442.24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67961.460000000006</v>
      </c>
      <c r="C40" s="232">
        <f>SUM(C37:C39)</f>
        <v>6442.24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01B9-9D3C-42D8-ABC8-B19F67D37078}">
  <sheetPr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Mascoma Valley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11685446.620000003</v>
      </c>
      <c r="D5" s="20">
        <f>SUM('DOE25'!L189:L192)+SUM('DOE25'!L207:L210)+SUM('DOE25'!L225:L228)-F5-G5</f>
        <v>11558811.870000003</v>
      </c>
      <c r="E5" s="244"/>
      <c r="F5" s="256">
        <f>SUM('DOE25'!J189:J192)+SUM('DOE25'!J207:J210)+SUM('DOE25'!J225:J228)</f>
        <v>112837.44</v>
      </c>
      <c r="G5" s="53">
        <f>SUM('DOE25'!K189:K192)+SUM('DOE25'!K207:K210)+SUM('DOE25'!K225:K228)</f>
        <v>13797.31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1151514.8500000001</v>
      </c>
      <c r="D6" s="20">
        <f>'DOE25'!L194+'DOE25'!L212+'DOE25'!L230-F6-G6</f>
        <v>1151414.8500000001</v>
      </c>
      <c r="E6" s="244"/>
      <c r="F6" s="256">
        <f>'DOE25'!J194+'DOE25'!J212+'DOE25'!J230</f>
        <v>0</v>
      </c>
      <c r="G6" s="53">
        <f>'DOE25'!K194+'DOE25'!K212+'DOE25'!K230</f>
        <v>100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367830.14</v>
      </c>
      <c r="D7" s="20">
        <f>'DOE25'!L195+'DOE25'!L213+'DOE25'!L231-F7-G7</f>
        <v>366834.18</v>
      </c>
      <c r="E7" s="244"/>
      <c r="F7" s="256">
        <f>'DOE25'!J195+'DOE25'!J213+'DOE25'!J231</f>
        <v>995.96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996083.92</v>
      </c>
      <c r="D8" s="244"/>
      <c r="E8" s="20">
        <f>'DOE25'!L196+'DOE25'!L214+'DOE25'!L232-F8-G8-D9-D11</f>
        <v>988890.60000000009</v>
      </c>
      <c r="F8" s="256">
        <f>'DOE25'!J196+'DOE25'!J214+'DOE25'!J232</f>
        <v>129.99</v>
      </c>
      <c r="G8" s="53">
        <f>'DOE25'!K196+'DOE25'!K214+'DOE25'!K232</f>
        <v>7063.33</v>
      </c>
      <c r="H8" s="260"/>
    </row>
    <row r="9" spans="1:9" x14ac:dyDescent="0.2">
      <c r="A9" s="32">
        <v>2310</v>
      </c>
      <c r="B9" t="s">
        <v>852</v>
      </c>
      <c r="C9" s="246">
        <f t="shared" si="0"/>
        <v>49977.49</v>
      </c>
      <c r="D9" s="245">
        <v>49977.49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23800</v>
      </c>
      <c r="D10" s="244"/>
      <c r="E10" s="245">
        <v>23800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286299.99</v>
      </c>
      <c r="D11" s="245">
        <v>286299.99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1141279.43</v>
      </c>
      <c r="D12" s="20">
        <f>'DOE25'!L197+'DOE25'!L215+'DOE25'!L233-F12-G12</f>
        <v>1141279.43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1788853.74</v>
      </c>
      <c r="D14" s="20">
        <f>'DOE25'!L199+'DOE25'!L217+'DOE25'!L235-F14-G14</f>
        <v>1732085.91</v>
      </c>
      <c r="E14" s="244"/>
      <c r="F14" s="256">
        <f>'DOE25'!J199+'DOE25'!J217+'DOE25'!J235</f>
        <v>56767.83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836800.42999999993</v>
      </c>
      <c r="D15" s="20">
        <f>'DOE25'!L200+'DOE25'!L218+'DOE25'!L236-F15-G15</f>
        <v>836800.42999999993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7435.93</v>
      </c>
      <c r="D16" s="244"/>
      <c r="E16" s="20">
        <f>'DOE25'!L201+'DOE25'!L219+'DOE25'!L237-F16-G16</f>
        <v>7435.93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343781.74</v>
      </c>
      <c r="D25" s="244"/>
      <c r="E25" s="244"/>
      <c r="F25" s="259"/>
      <c r="G25" s="257"/>
      <c r="H25" s="258">
        <f>'DOE25'!L252+'DOE25'!L253+'DOE25'!L333+'DOE25'!L334</f>
        <v>343781.74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398044.54000000004</v>
      </c>
      <c r="D29" s="20">
        <f>'DOE25'!L350+'DOE25'!L351+'DOE25'!L352-'DOE25'!I359-F29-G29</f>
        <v>398044.54000000004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936631.61</v>
      </c>
      <c r="D31" s="20">
        <f>'DOE25'!L282+'DOE25'!L301+'DOE25'!L320+'DOE25'!L325+'DOE25'!L326+'DOE25'!L327-F31-G31</f>
        <v>784657.61</v>
      </c>
      <c r="E31" s="244"/>
      <c r="F31" s="256">
        <f>'DOE25'!J282+'DOE25'!J301+'DOE25'!J320+'DOE25'!J325+'DOE25'!J326+'DOE25'!J327</f>
        <v>148997.87</v>
      </c>
      <c r="G31" s="53">
        <f>'DOE25'!K282+'DOE25'!K301+'DOE25'!K320+'DOE25'!K325+'DOE25'!K326+'DOE25'!K327</f>
        <v>2976.1299999999997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18306206.300000001</v>
      </c>
      <c r="E33" s="247">
        <f>SUM(E5:E31)</f>
        <v>1020126.5300000001</v>
      </c>
      <c r="F33" s="247">
        <f>SUM(F5:F31)</f>
        <v>319729.09000000003</v>
      </c>
      <c r="G33" s="247">
        <f>SUM(G5:G31)</f>
        <v>23936.77</v>
      </c>
      <c r="H33" s="247">
        <f>SUM(H5:H31)</f>
        <v>343781.74</v>
      </c>
    </row>
    <row r="35" spans="2:8" ht="12" thickBot="1" x14ac:dyDescent="0.25">
      <c r="B35" s="254" t="s">
        <v>881</v>
      </c>
      <c r="D35" s="255">
        <f>E33</f>
        <v>1020126.5300000001</v>
      </c>
      <c r="E35" s="250"/>
    </row>
    <row r="36" spans="2:8" ht="12" thickTop="1" x14ac:dyDescent="0.2">
      <c r="B36" t="s">
        <v>849</v>
      </c>
      <c r="D36" s="20">
        <f>D33</f>
        <v>18306206.300000001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3661-FA94-4866-B5B7-79D2C82B457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921947.23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147621.17000000001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591488.53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10234.75</v>
      </c>
      <c r="D13" s="95">
        <f>'DOE25'!G13</f>
        <v>30091.94</v>
      </c>
      <c r="E13" s="95">
        <f>'DOE25'!H13</f>
        <v>214076.5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-11</v>
      </c>
      <c r="D14" s="95">
        <f>'DOE25'!G14</f>
        <v>28726.87</v>
      </c>
      <c r="E14" s="95">
        <f>'DOE25'!H14</f>
        <v>522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403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1079792.1499999999</v>
      </c>
      <c r="D19" s="41">
        <f>SUM(D9:D18)</f>
        <v>58818.81</v>
      </c>
      <c r="E19" s="41">
        <f>SUM(E9:E18)</f>
        <v>215001.5</v>
      </c>
      <c r="F19" s="41">
        <f>SUM(F9:F18)</f>
        <v>0</v>
      </c>
      <c r="G19" s="41">
        <f>SUM(G9:G18)</f>
        <v>591488.53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53024.59</v>
      </c>
      <c r="E22" s="95">
        <f>'DOE25'!H23</f>
        <v>94596.58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16728.61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191157.72999999998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5903.81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207886.33999999997</v>
      </c>
      <c r="D32" s="41">
        <f>SUM(D22:D31)</f>
        <v>58928.399999999994</v>
      </c>
      <c r="E32" s="41">
        <f>SUM(E22:E31)</f>
        <v>94596.58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60000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357726.76</v>
      </c>
      <c r="D40" s="95">
        <f>'DOE25'!G41</f>
        <v>-109.59</v>
      </c>
      <c r="E40" s="95">
        <f>'DOE25'!H41</f>
        <v>120404.92</v>
      </c>
      <c r="F40" s="95">
        <f>'DOE25'!I41</f>
        <v>0</v>
      </c>
      <c r="G40" s="95">
        <f>'DOE25'!J41</f>
        <v>591488.53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454179.05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871905.81</v>
      </c>
      <c r="D42" s="41">
        <f>SUM(D34:D41)</f>
        <v>-109.59</v>
      </c>
      <c r="E42" s="41">
        <f>SUM(E34:E41)</f>
        <v>120404.92</v>
      </c>
      <c r="F42" s="41">
        <f>SUM(F34:F41)</f>
        <v>0</v>
      </c>
      <c r="G42" s="41">
        <f>SUM(G34:G41)</f>
        <v>591488.53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1079792.1499999999</v>
      </c>
      <c r="D43" s="41">
        <f>D42+D32</f>
        <v>58818.81</v>
      </c>
      <c r="E43" s="41">
        <f>E42+E32</f>
        <v>215001.5</v>
      </c>
      <c r="F43" s="41">
        <f>F42+F32</f>
        <v>0</v>
      </c>
      <c r="G43" s="41">
        <f>G42+G32</f>
        <v>591488.53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11100805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120767.5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15084.18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242256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8293.93</v>
      </c>
      <c r="D53" s="95">
        <f>SUM('DOE25'!G90:G102)</f>
        <v>0</v>
      </c>
      <c r="E53" s="95">
        <f>SUM('DOE25'!H90:H102)</f>
        <v>46461.33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23378.11</v>
      </c>
      <c r="D54" s="130">
        <f>SUM(D49:D53)</f>
        <v>242256</v>
      </c>
      <c r="E54" s="130">
        <f>SUM(E49:E53)</f>
        <v>167228.83000000002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11124183.109999999</v>
      </c>
      <c r="D55" s="22">
        <f>D48+D54</f>
        <v>242256</v>
      </c>
      <c r="E55" s="22">
        <f>E48+E54</f>
        <v>167228.83000000002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3244748.61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2352763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1244908.3899999999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6842419.9999999991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166443.96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268373.44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218470.31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4915.68</v>
      </c>
      <c r="E69" s="95">
        <f>SUM('DOE25'!H123:H127)</f>
        <v>14850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653287.71</v>
      </c>
      <c r="D70" s="130">
        <f>SUM(D64:D69)</f>
        <v>4915.68</v>
      </c>
      <c r="E70" s="130">
        <f>SUM(E64:E69)</f>
        <v>14850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7495707.709999999</v>
      </c>
      <c r="D73" s="130">
        <f>SUM(D71:D72)+D70+D62</f>
        <v>4915.68</v>
      </c>
      <c r="E73" s="130">
        <f>SUM(E71:E72)+E70+E62</f>
        <v>14850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136321.28</v>
      </c>
      <c r="D80" s="95">
        <f>SUM('DOE25'!G145:G153)</f>
        <v>157922.53</v>
      </c>
      <c r="E80" s="95">
        <f>SUM('DOE25'!H145:H153)</f>
        <v>794201.64000000013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3220.42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139541.70000000001</v>
      </c>
      <c r="D83" s="131">
        <f>SUM(D77:D82)</f>
        <v>157922.53</v>
      </c>
      <c r="E83" s="131">
        <f>SUM(E77:E82)</f>
        <v>794201.64000000013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30000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 t="str">
        <f>'DOE25'!J174</f>
        <v xml:space="preserve"> 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8000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8000</v>
      </c>
      <c r="G95" s="86">
        <f>SUM(G85:G94)</f>
        <v>30000</v>
      </c>
    </row>
    <row r="96" spans="1:7" ht="12.75" thickTop="1" thickBot="1" x14ac:dyDescent="0.25">
      <c r="A96" s="33" t="s">
        <v>797</v>
      </c>
      <c r="C96" s="86">
        <f>C55+C73+C83+C95</f>
        <v>18759432.52</v>
      </c>
      <c r="D96" s="86">
        <f>D55+D73+D83+D95</f>
        <v>405094.20999999996</v>
      </c>
      <c r="E96" s="86">
        <f>E55+E73+E83+E95</f>
        <v>976280.4700000002</v>
      </c>
      <c r="F96" s="86">
        <f>F55+F73+F83+F95</f>
        <v>8000</v>
      </c>
      <c r="G96" s="86">
        <f>G55+G73+G95</f>
        <v>30000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7627378.8600000022</v>
      </c>
      <c r="D101" s="24" t="s">
        <v>312</v>
      </c>
      <c r="E101" s="95">
        <f>('DOE25'!L268)+('DOE25'!L287)+('DOE25'!L306)</f>
        <v>431673.19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3567391.66</v>
      </c>
      <c r="D102" s="24" t="s">
        <v>312</v>
      </c>
      <c r="E102" s="95">
        <f>('DOE25'!L269)+('DOE25'!L288)+('DOE25'!L307)</f>
        <v>451904.64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364071.42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126604.68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11685446.620000003</v>
      </c>
      <c r="D107" s="86">
        <f>SUM(D101:D106)</f>
        <v>0</v>
      </c>
      <c r="E107" s="86">
        <f>SUM(E101:E106)</f>
        <v>883577.83000000007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1151514.8500000001</v>
      </c>
      <c r="D110" s="24" t="s">
        <v>312</v>
      </c>
      <c r="E110" s="95">
        <f>+('DOE25'!L273)+('DOE25'!L292)+('DOE25'!L311)</f>
        <v>51463.149999999994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367830.14</v>
      </c>
      <c r="D111" s="24" t="s">
        <v>312</v>
      </c>
      <c r="E111" s="95">
        <f>+('DOE25'!L274)+('DOE25'!L293)+('DOE25'!L312)</f>
        <v>1590.63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1332361.4000000001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1141279.43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1788853.74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836800.42999999993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7435.93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398044.54000000004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6626075.9199999999</v>
      </c>
      <c r="D120" s="86">
        <f>SUM(D110:D119)</f>
        <v>398044.54000000004</v>
      </c>
      <c r="E120" s="86">
        <f>SUM(E110:E119)</f>
        <v>53053.779999999992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8000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331901.52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11880.22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373781.74</v>
      </c>
      <c r="D136" s="141">
        <f>SUM(D122:D135)</f>
        <v>0</v>
      </c>
      <c r="E136" s="141">
        <f>SUM(E122:E135)</f>
        <v>0</v>
      </c>
      <c r="F136" s="141">
        <f>SUM(F122:F135)</f>
        <v>8000</v>
      </c>
      <c r="G136" s="141">
        <f>SUM(G122:G135)</f>
        <v>8000</v>
      </c>
    </row>
    <row r="137" spans="1:9" ht="12.75" thickTop="1" thickBot="1" x14ac:dyDescent="0.25">
      <c r="A137" s="33" t="s">
        <v>267</v>
      </c>
      <c r="C137" s="86">
        <f>(C107+C120+C136)</f>
        <v>18685304.280000001</v>
      </c>
      <c r="D137" s="86">
        <f>(D107+D120+D136)</f>
        <v>398044.54000000004</v>
      </c>
      <c r="E137" s="86">
        <f>(E107+E120+E136)</f>
        <v>936631.6100000001</v>
      </c>
      <c r="F137" s="86">
        <f>(F107+F120+F136)</f>
        <v>8000</v>
      </c>
      <c r="G137" s="86">
        <f>(G107+G120+G136)</f>
        <v>8000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02/01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02/10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2266101.9500000002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331901.52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331901.52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331901.52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331901.52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571B-8525-4798-8C58-38121AB2D85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Mascoma Valley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12652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14531</v>
      </c>
    </row>
    <row r="7" spans="1:4" x14ac:dyDescent="0.2">
      <c r="B7" t="s">
        <v>736</v>
      </c>
      <c r="C7" s="179">
        <f>IF('DOE25'!I655+'DOE25'!I660=0,0,ROUND('DOE25'!I662,0))</f>
        <v>13225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8059052</v>
      </c>
      <c r="D10" s="182">
        <f>ROUND((C10/$C$28)*100,1)</f>
        <v>41.5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4019296</v>
      </c>
      <c r="D11" s="182">
        <f>ROUND((C11/$C$28)*100,1)</f>
        <v>20.7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364071</v>
      </c>
      <c r="D12" s="182">
        <f>ROUND((C12/$C$28)*100,1)</f>
        <v>1.9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126605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1202978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369421</v>
      </c>
      <c r="D16" s="182">
        <f t="shared" si="0"/>
        <v>1.9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1339797</v>
      </c>
      <c r="D17" s="182">
        <f t="shared" si="0"/>
        <v>6.9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1141279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1788854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836800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11880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155789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19415822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8000</v>
      </c>
    </row>
    <row r="30" spans="1:4" x14ac:dyDescent="0.2">
      <c r="B30" s="187" t="s">
        <v>760</v>
      </c>
      <c r="C30" s="180">
        <f>SUM(C28:C29)</f>
        <v>19423822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331902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11100805</v>
      </c>
      <c r="D35" s="182">
        <f t="shared" ref="D35:D40" si="1">ROUND((C35/$C$41)*100,1)</f>
        <v>55.8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190606.93999999948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5597512</v>
      </c>
      <c r="D37" s="182">
        <f t="shared" si="1"/>
        <v>28.1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1917962</v>
      </c>
      <c r="D38" s="182">
        <f t="shared" si="1"/>
        <v>9.6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1091666</v>
      </c>
      <c r="D39" s="182">
        <f t="shared" si="1"/>
        <v>5.5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19898551.939999998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1C59-16B7-4EDA-BCA9-2E2C0A34A34D}">
  <sheetPr>
    <tabColor indexed="17"/>
  </sheetPr>
  <dimension ref="A1:IV90"/>
  <sheetViews>
    <sheetView workbookViewId="0">
      <pane ySplit="3" topLeftCell="A4" activePane="bottomLeft" state="frozen"/>
      <selection pane="bottomLeft" activeCell="B27" sqref="B2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Mascoma Valley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2010-09-28T15:34:10Z</cp:lastPrinted>
  <dcterms:created xsi:type="dcterms:W3CDTF">1997-12-04T19:04:30Z</dcterms:created>
  <dcterms:modified xsi:type="dcterms:W3CDTF">2025-01-02T14:48:21Z</dcterms:modified>
</cp:coreProperties>
</file>