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E106C86-5CA8-4149-8636-CB41F711F30A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B5267965-D044-4FF4-989A-31F23C1B273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5" i="1" l="1"/>
  <c r="H569" i="1"/>
  <c r="H503" i="1"/>
  <c r="H371" i="1"/>
  <c r="L371" i="1"/>
  <c r="H374" i="1"/>
  <c r="G350" i="1"/>
  <c r="H368" i="1"/>
  <c r="F492" i="1"/>
  <c r="F488" i="1"/>
  <c r="B11" i="12"/>
  <c r="H582" i="1"/>
  <c r="J581" i="1"/>
  <c r="I581" i="1"/>
  <c r="F88" i="1"/>
  <c r="C51" i="2" s="1"/>
  <c r="F13" i="1"/>
  <c r="L350" i="1"/>
  <c r="D29" i="13" s="1"/>
  <c r="C29" i="13" s="1"/>
  <c r="K262" i="1"/>
  <c r="L189" i="1"/>
  <c r="I169" i="1"/>
  <c r="I184" i="1"/>
  <c r="I103" i="1"/>
  <c r="G175" i="1"/>
  <c r="G184" i="1" s="1"/>
  <c r="F103" i="1"/>
  <c r="F49" i="1"/>
  <c r="F52" i="1"/>
  <c r="F104" i="1" s="1"/>
  <c r="F113" i="1"/>
  <c r="F132" i="1" s="1"/>
  <c r="C38" i="10" s="1"/>
  <c r="F360" i="1"/>
  <c r="F359" i="1"/>
  <c r="H226" i="1"/>
  <c r="H225" i="1"/>
  <c r="L225" i="1" s="1"/>
  <c r="I196" i="1"/>
  <c r="H196" i="1"/>
  <c r="G196" i="1"/>
  <c r="G203" i="1" s="1"/>
  <c r="G249" i="1" s="1"/>
  <c r="G263" i="1" s="1"/>
  <c r="F196" i="1"/>
  <c r="H194" i="1"/>
  <c r="H203" i="1" s="1"/>
  <c r="H249" i="1" s="1"/>
  <c r="H263" i="1" s="1"/>
  <c r="F142" i="1"/>
  <c r="F90" i="1"/>
  <c r="C53" i="2" s="1"/>
  <c r="I116" i="1"/>
  <c r="F14" i="1"/>
  <c r="C14" i="2" s="1"/>
  <c r="F25" i="1"/>
  <c r="F30" i="1"/>
  <c r="C60" i="2"/>
  <c r="B2" i="13"/>
  <c r="F8" i="13"/>
  <c r="G8" i="13"/>
  <c r="L214" i="1"/>
  <c r="L232" i="1"/>
  <c r="D39" i="13"/>
  <c r="F13" i="13"/>
  <c r="G13" i="13"/>
  <c r="L198" i="1"/>
  <c r="L216" i="1"/>
  <c r="C114" i="2" s="1"/>
  <c r="L234" i="1"/>
  <c r="E13" i="13" s="1"/>
  <c r="C13" i="13" s="1"/>
  <c r="F16" i="13"/>
  <c r="G16" i="13"/>
  <c r="L201" i="1"/>
  <c r="C117" i="2" s="1"/>
  <c r="L219" i="1"/>
  <c r="L237" i="1"/>
  <c r="F5" i="13"/>
  <c r="G5" i="13"/>
  <c r="L190" i="1"/>
  <c r="L191" i="1"/>
  <c r="C103" i="2" s="1"/>
  <c r="L192" i="1"/>
  <c r="C104" i="2" s="1"/>
  <c r="L207" i="1"/>
  <c r="L221" i="1" s="1"/>
  <c r="G650" i="1" s="1"/>
  <c r="G654" i="1" s="1"/>
  <c r="L208" i="1"/>
  <c r="C102" i="2" s="1"/>
  <c r="L209" i="1"/>
  <c r="L210" i="1"/>
  <c r="L226" i="1"/>
  <c r="L227" i="1"/>
  <c r="L228" i="1"/>
  <c r="F6" i="13"/>
  <c r="G6" i="13"/>
  <c r="L212" i="1"/>
  <c r="L230" i="1"/>
  <c r="F7" i="13"/>
  <c r="G7" i="13"/>
  <c r="L195" i="1"/>
  <c r="D7" i="13" s="1"/>
  <c r="C7" i="13" s="1"/>
  <c r="L213" i="1"/>
  <c r="C16" i="10" s="1"/>
  <c r="L231" i="1"/>
  <c r="F12" i="13"/>
  <c r="G12" i="13"/>
  <c r="L197" i="1"/>
  <c r="C18" i="10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C116" i="2" s="1"/>
  <c r="L218" i="1"/>
  <c r="L236" i="1"/>
  <c r="H652" i="1" s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1" i="1"/>
  <c r="L352" i="1"/>
  <c r="H651" i="1" s="1"/>
  <c r="I359" i="1"/>
  <c r="J282" i="1"/>
  <c r="F31" i="13" s="1"/>
  <c r="J301" i="1"/>
  <c r="J320" i="1"/>
  <c r="K282" i="1"/>
  <c r="K330" i="1" s="1"/>
  <c r="K344" i="1" s="1"/>
  <c r="K301" i="1"/>
  <c r="K320" i="1"/>
  <c r="L268" i="1"/>
  <c r="E101" i="2" s="1"/>
  <c r="L269" i="1"/>
  <c r="L282" i="1" s="1"/>
  <c r="L270" i="1"/>
  <c r="L271" i="1"/>
  <c r="L273" i="1"/>
  <c r="L274" i="1"/>
  <c r="L275" i="1"/>
  <c r="L276" i="1"/>
  <c r="L277" i="1"/>
  <c r="E114" i="2" s="1"/>
  <c r="L278" i="1"/>
  <c r="L279" i="1"/>
  <c r="L280" i="1"/>
  <c r="L287" i="1"/>
  <c r="L288" i="1"/>
  <c r="L289" i="1"/>
  <c r="L290" i="1"/>
  <c r="L292" i="1"/>
  <c r="L293" i="1"/>
  <c r="L301" i="1" s="1"/>
  <c r="L294" i="1"/>
  <c r="L295" i="1"/>
  <c r="E113" i="2" s="1"/>
  <c r="L296" i="1"/>
  <c r="L297" i="1"/>
  <c r="E115" i="2" s="1"/>
  <c r="L298" i="1"/>
  <c r="L299" i="1"/>
  <c r="L306" i="1"/>
  <c r="L307" i="1"/>
  <c r="L320" i="1" s="1"/>
  <c r="L308" i="1"/>
  <c r="L309" i="1"/>
  <c r="L311" i="1"/>
  <c r="E110" i="2" s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H25" i="13" s="1"/>
  <c r="L253" i="1"/>
  <c r="L333" i="1"/>
  <c r="L343" i="1" s="1"/>
  <c r="L334" i="1"/>
  <c r="E124" i="2" s="1"/>
  <c r="L247" i="1"/>
  <c r="L328" i="1"/>
  <c r="E122" i="2" s="1"/>
  <c r="F22" i="13"/>
  <c r="C22" i="13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5" i="1" s="1"/>
  <c r="L384" i="1"/>
  <c r="L387" i="1"/>
  <c r="L388" i="1"/>
  <c r="L389" i="1"/>
  <c r="L390" i="1"/>
  <c r="L393" i="1" s="1"/>
  <c r="C131" i="2" s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3" i="2"/>
  <c r="G54" i="2"/>
  <c r="G55" i="2" s="1"/>
  <c r="F2" i="11"/>
  <c r="L603" i="1"/>
  <c r="H653" i="1"/>
  <c r="L602" i="1"/>
  <c r="G653" i="1"/>
  <c r="L601" i="1"/>
  <c r="F653" i="1" s="1"/>
  <c r="I653" i="1" s="1"/>
  <c r="C40" i="10"/>
  <c r="G52" i="1"/>
  <c r="D48" i="2" s="1"/>
  <c r="H52" i="1"/>
  <c r="I52" i="1"/>
  <c r="F48" i="2" s="1"/>
  <c r="F55" i="2" s="1"/>
  <c r="F71" i="1"/>
  <c r="C49" i="2" s="1"/>
  <c r="F86" i="1"/>
  <c r="G103" i="1"/>
  <c r="H71" i="1"/>
  <c r="H86" i="1"/>
  <c r="H104" i="1" s="1"/>
  <c r="H185" i="1" s="1"/>
  <c r="H103" i="1"/>
  <c r="J103" i="1"/>
  <c r="J104" i="1" s="1"/>
  <c r="J185" i="1" s="1"/>
  <c r="C37" i="10"/>
  <c r="F128" i="1"/>
  <c r="G113" i="1"/>
  <c r="G128" i="1"/>
  <c r="G132" i="1" s="1"/>
  <c r="H113" i="1"/>
  <c r="H132" i="1" s="1"/>
  <c r="H128" i="1"/>
  <c r="I113" i="1"/>
  <c r="I132" i="1" s="1"/>
  <c r="I128" i="1"/>
  <c r="J113" i="1"/>
  <c r="J128" i="1"/>
  <c r="J132" i="1"/>
  <c r="F139" i="1"/>
  <c r="F154" i="1"/>
  <c r="F161" i="1"/>
  <c r="C39" i="10" s="1"/>
  <c r="G139" i="1"/>
  <c r="G161" i="1" s="1"/>
  <c r="G154" i="1"/>
  <c r="H139" i="1"/>
  <c r="E77" i="2" s="1"/>
  <c r="E83" i="2" s="1"/>
  <c r="H154" i="1"/>
  <c r="H161" i="1"/>
  <c r="I139" i="1"/>
  <c r="I161" i="1" s="1"/>
  <c r="I154" i="1"/>
  <c r="C11" i="10"/>
  <c r="L242" i="1"/>
  <c r="L324" i="1"/>
  <c r="C23" i="10"/>
  <c r="L246" i="1"/>
  <c r="L260" i="1"/>
  <c r="L261" i="1"/>
  <c r="C26" i="10" s="1"/>
  <c r="L341" i="1"/>
  <c r="L342" i="1"/>
  <c r="E135" i="2" s="1"/>
  <c r="I655" i="1"/>
  <c r="I660" i="1"/>
  <c r="G651" i="1"/>
  <c r="G652" i="1"/>
  <c r="I659" i="1"/>
  <c r="C6" i="10"/>
  <c r="C5" i="10"/>
  <c r="C42" i="10"/>
  <c r="C32" i="10"/>
  <c r="L366" i="1"/>
  <c r="L367" i="1"/>
  <c r="L374" i="1" s="1"/>
  <c r="L368" i="1"/>
  <c r="L369" i="1"/>
  <c r="L370" i="1"/>
  <c r="C29" i="10" s="1"/>
  <c r="L372" i="1"/>
  <c r="B2" i="10"/>
  <c r="L336" i="1"/>
  <c r="E126" i="2" s="1"/>
  <c r="L337" i="1"/>
  <c r="E127" i="2" s="1"/>
  <c r="L338" i="1"/>
  <c r="E129" i="2" s="1"/>
  <c r="L339" i="1"/>
  <c r="K343" i="1"/>
  <c r="L511" i="1"/>
  <c r="F539" i="1" s="1"/>
  <c r="L512" i="1"/>
  <c r="L514" i="1" s="1"/>
  <c r="L513" i="1"/>
  <c r="F541" i="1" s="1"/>
  <c r="L516" i="1"/>
  <c r="G539" i="1"/>
  <c r="G542" i="1" s="1"/>
  <c r="L517" i="1"/>
  <c r="G540" i="1" s="1"/>
  <c r="L518" i="1"/>
  <c r="G541" i="1"/>
  <c r="L521" i="1"/>
  <c r="L524" i="1" s="1"/>
  <c r="L522" i="1"/>
  <c r="H540" i="1" s="1"/>
  <c r="L523" i="1"/>
  <c r="H541" i="1" s="1"/>
  <c r="L526" i="1"/>
  <c r="I539" i="1" s="1"/>
  <c r="I542" i="1" s="1"/>
  <c r="L527" i="1"/>
  <c r="I540" i="1"/>
  <c r="L528" i="1"/>
  <c r="I541" i="1"/>
  <c r="L531" i="1"/>
  <c r="L534" i="1" s="1"/>
  <c r="L532" i="1"/>
  <c r="J540" i="1" s="1"/>
  <c r="L533" i="1"/>
  <c r="J541" i="1"/>
  <c r="E123" i="2"/>
  <c r="J262" i="1"/>
  <c r="I262" i="1"/>
  <c r="H262" i="1"/>
  <c r="G262" i="1"/>
  <c r="F262" i="1"/>
  <c r="L262" i="1" s="1"/>
  <c r="C124" i="2"/>
  <c r="C123" i="2"/>
  <c r="A1" i="2"/>
  <c r="A2" i="2"/>
  <c r="C9" i="2"/>
  <c r="C19" i="2" s="1"/>
  <c r="D9" i="2"/>
  <c r="D19" i="2" s="1"/>
  <c r="E9" i="2"/>
  <c r="E19" i="2" s="1"/>
  <c r="F9" i="2"/>
  <c r="I431" i="1"/>
  <c r="J9" i="1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D14" i="2"/>
  <c r="E14" i="2"/>
  <c r="F14" i="2"/>
  <c r="I435" i="1"/>
  <c r="J14" i="1"/>
  <c r="G14" i="2" s="1"/>
  <c r="F15" i="2"/>
  <c r="F19" i="2" s="1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E23" i="2"/>
  <c r="F23" i="2"/>
  <c r="F32" i="2" s="1"/>
  <c r="I441" i="1"/>
  <c r="J24" i="1"/>
  <c r="G23" i="2" s="1"/>
  <c r="C24" i="2"/>
  <c r="C32" i="2" s="1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E32" i="2"/>
  <c r="C34" i="2"/>
  <c r="D34" i="2"/>
  <c r="E34" i="2"/>
  <c r="E42" i="2" s="1"/>
  <c r="E43" i="2" s="1"/>
  <c r="F34" i="2"/>
  <c r="C35" i="2"/>
  <c r="D35" i="2"/>
  <c r="E35" i="2"/>
  <c r="F35" i="2"/>
  <c r="C36" i="2"/>
  <c r="C42" i="2" s="1"/>
  <c r="D36" i="2"/>
  <c r="D42" i="2" s="1"/>
  <c r="E36" i="2"/>
  <c r="F36" i="2"/>
  <c r="I446" i="1"/>
  <c r="J37" i="1"/>
  <c r="G36" i="2"/>
  <c r="C37" i="2"/>
  <c r="D37" i="2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F42" i="2"/>
  <c r="C48" i="2"/>
  <c r="E48" i="2"/>
  <c r="E49" i="2"/>
  <c r="C50" i="2"/>
  <c r="E50" i="2"/>
  <c r="D51" i="2"/>
  <c r="E51" i="2"/>
  <c r="F51" i="2"/>
  <c r="F54" i="2" s="1"/>
  <c r="D52" i="2"/>
  <c r="D54" i="2" s="1"/>
  <c r="D53" i="2"/>
  <c r="E53" i="2"/>
  <c r="F53" i="2"/>
  <c r="E54" i="2"/>
  <c r="E55" i="2" s="1"/>
  <c r="C58" i="2"/>
  <c r="C62" i="2" s="1"/>
  <c r="C59" i="2"/>
  <c r="C61" i="2"/>
  <c r="D61" i="2"/>
  <c r="D62" i="2" s="1"/>
  <c r="E61" i="2"/>
  <c r="E62" i="2" s="1"/>
  <c r="F61" i="2"/>
  <c r="F62" i="2" s="1"/>
  <c r="G61" i="2"/>
  <c r="G62" i="2" s="1"/>
  <c r="C64" i="2"/>
  <c r="F64" i="2"/>
  <c r="C65" i="2"/>
  <c r="F65" i="2"/>
  <c r="C66" i="2"/>
  <c r="C70" i="2" s="1"/>
  <c r="C67" i="2"/>
  <c r="C68" i="2"/>
  <c r="E68" i="2"/>
  <c r="F68" i="2"/>
  <c r="C69" i="2"/>
  <c r="D69" i="2"/>
  <c r="D70" i="2" s="1"/>
  <c r="D73" i="2" s="1"/>
  <c r="E69" i="2"/>
  <c r="F69" i="2"/>
  <c r="G69" i="2"/>
  <c r="E70" i="2"/>
  <c r="E73" i="2" s="1"/>
  <c r="F70" i="2"/>
  <c r="F73" i="2" s="1"/>
  <c r="G70" i="2"/>
  <c r="G73" i="2" s="1"/>
  <c r="C71" i="2"/>
  <c r="D71" i="2"/>
  <c r="E71" i="2"/>
  <c r="C72" i="2"/>
  <c r="E72" i="2"/>
  <c r="C77" i="2"/>
  <c r="C83" i="2" s="1"/>
  <c r="D77" i="2"/>
  <c r="D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E88" i="2"/>
  <c r="E95" i="2" s="1"/>
  <c r="F88" i="2"/>
  <c r="G88" i="2"/>
  <c r="C89" i="2"/>
  <c r="D89" i="2"/>
  <c r="E89" i="2"/>
  <c r="F89" i="2"/>
  <c r="G89" i="2"/>
  <c r="C90" i="2"/>
  <c r="C95" i="2" s="1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G95" i="2"/>
  <c r="E102" i="2"/>
  <c r="E103" i="2"/>
  <c r="E104" i="2"/>
  <c r="C105" i="2"/>
  <c r="E105" i="2"/>
  <c r="C106" i="2"/>
  <c r="D107" i="2"/>
  <c r="F107" i="2"/>
  <c r="G107" i="2"/>
  <c r="E111" i="2"/>
  <c r="E112" i="2"/>
  <c r="C115" i="2"/>
  <c r="E116" i="2"/>
  <c r="E117" i="2"/>
  <c r="F120" i="2"/>
  <c r="G120" i="2"/>
  <c r="C122" i="2"/>
  <c r="D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C134" i="2"/>
  <c r="E134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C152" i="2"/>
  <c r="D152" i="2"/>
  <c r="G152" i="2" s="1"/>
  <c r="E152" i="2"/>
  <c r="F152" i="2"/>
  <c r="F490" i="1"/>
  <c r="B153" i="2"/>
  <c r="G490" i="1"/>
  <c r="C153" i="2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G155" i="2" s="1"/>
  <c r="F155" i="2"/>
  <c r="F493" i="1"/>
  <c r="B156" i="2" s="1"/>
  <c r="G493" i="1"/>
  <c r="K493" i="1" s="1"/>
  <c r="H493" i="1"/>
  <c r="D156" i="2" s="1"/>
  <c r="I493" i="1"/>
  <c r="E156" i="2" s="1"/>
  <c r="J493" i="1"/>
  <c r="F156" i="2"/>
  <c r="F19" i="1"/>
  <c r="G19" i="1"/>
  <c r="G608" i="1" s="1"/>
  <c r="H19" i="1"/>
  <c r="I19" i="1"/>
  <c r="G610" i="1" s="1"/>
  <c r="J610" i="1" s="1"/>
  <c r="F33" i="1"/>
  <c r="F44" i="1" s="1"/>
  <c r="H607" i="1" s="1"/>
  <c r="J607" i="1" s="1"/>
  <c r="G33" i="1"/>
  <c r="H33" i="1"/>
  <c r="I33" i="1"/>
  <c r="F43" i="1"/>
  <c r="G612" i="1" s="1"/>
  <c r="G43" i="1"/>
  <c r="H43" i="1"/>
  <c r="I43" i="1"/>
  <c r="I44" i="1" s="1"/>
  <c r="H610" i="1" s="1"/>
  <c r="G44" i="1"/>
  <c r="H608" i="1" s="1"/>
  <c r="H44" i="1"/>
  <c r="H609" i="1" s="1"/>
  <c r="F169" i="1"/>
  <c r="F175" i="1"/>
  <c r="H175" i="1"/>
  <c r="H184" i="1" s="1"/>
  <c r="I175" i="1"/>
  <c r="J175" i="1"/>
  <c r="J184" i="1" s="1"/>
  <c r="F180" i="1"/>
  <c r="G180" i="1"/>
  <c r="H180" i="1"/>
  <c r="I180" i="1"/>
  <c r="F184" i="1"/>
  <c r="F203" i="1"/>
  <c r="F249" i="1" s="1"/>
  <c r="F263" i="1" s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J249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J330" i="1" s="1"/>
  <c r="J344" i="1" s="1"/>
  <c r="K329" i="1"/>
  <c r="L329" i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I374" i="1"/>
  <c r="J374" i="1"/>
  <c r="K374" i="1"/>
  <c r="F385" i="1"/>
  <c r="F400" i="1" s="1"/>
  <c r="H633" i="1" s="1"/>
  <c r="G385" i="1"/>
  <c r="H385" i="1"/>
  <c r="H400" i="1" s="1"/>
  <c r="H634" i="1" s="1"/>
  <c r="J634" i="1" s="1"/>
  <c r="I385" i="1"/>
  <c r="F393" i="1"/>
  <c r="G393" i="1"/>
  <c r="H393" i="1"/>
  <c r="I393" i="1"/>
  <c r="F399" i="1"/>
  <c r="G399" i="1"/>
  <c r="G400" i="1" s="1"/>
  <c r="H635" i="1" s="1"/>
  <c r="J635" i="1" s="1"/>
  <c r="H399" i="1"/>
  <c r="I399" i="1"/>
  <c r="I400" i="1"/>
  <c r="L405" i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1" i="1"/>
  <c r="L426" i="1" s="1"/>
  <c r="G628" i="1" s="1"/>
  <c r="J628" i="1" s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F426" i="1" s="1"/>
  <c r="G425" i="1"/>
  <c r="H425" i="1"/>
  <c r="I425" i="1"/>
  <c r="J425" i="1"/>
  <c r="L425" i="1"/>
  <c r="G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J631" i="1" s="1"/>
  <c r="I444" i="1"/>
  <c r="F450" i="1"/>
  <c r="G450" i="1"/>
  <c r="H450" i="1"/>
  <c r="F451" i="1"/>
  <c r="H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 s="1"/>
  <c r="K514" i="1"/>
  <c r="F519" i="1"/>
  <c r="G519" i="1"/>
  <c r="H519" i="1"/>
  <c r="H535" i="1" s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35" i="1" s="1"/>
  <c r="F535" i="1"/>
  <c r="L547" i="1"/>
  <c r="L550" i="1" s="1"/>
  <c r="L561" i="1" s="1"/>
  <c r="L548" i="1"/>
  <c r="L549" i="1"/>
  <c r="F550" i="1"/>
  <c r="F561" i="1" s="1"/>
  <c r="G550" i="1"/>
  <c r="G561" i="1" s="1"/>
  <c r="H550" i="1"/>
  <c r="H561" i="1" s="1"/>
  <c r="I550" i="1"/>
  <c r="J550" i="1"/>
  <c r="K550" i="1"/>
  <c r="L552" i="1"/>
  <c r="L555" i="1" s="1"/>
  <c r="L553" i="1"/>
  <c r="L554" i="1"/>
  <c r="F555" i="1"/>
  <c r="G555" i="1"/>
  <c r="H555" i="1"/>
  <c r="I555" i="1"/>
  <c r="I561" i="1" s="1"/>
  <c r="J555" i="1"/>
  <c r="J561" i="1" s="1"/>
  <c r="K555" i="1"/>
  <c r="L557" i="1"/>
  <c r="L558" i="1"/>
  <c r="L559" i="1"/>
  <c r="F560" i="1"/>
  <c r="G560" i="1"/>
  <c r="H560" i="1"/>
  <c r="I560" i="1"/>
  <c r="J560" i="1"/>
  <c r="K560" i="1"/>
  <c r="K561" i="1" s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H640" i="1" s="1"/>
  <c r="J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9" i="1"/>
  <c r="J609" i="1" s="1"/>
  <c r="G613" i="1"/>
  <c r="G614" i="1"/>
  <c r="G615" i="1"/>
  <c r="H623" i="1"/>
  <c r="G624" i="1"/>
  <c r="H628" i="1"/>
  <c r="H629" i="1"/>
  <c r="G630" i="1"/>
  <c r="G631" i="1"/>
  <c r="G633" i="1"/>
  <c r="J633" i="1" s="1"/>
  <c r="G634" i="1"/>
  <c r="G635" i="1"/>
  <c r="H637" i="1"/>
  <c r="G639" i="1"/>
  <c r="H639" i="1"/>
  <c r="J639" i="1"/>
  <c r="G640" i="1"/>
  <c r="H641" i="1"/>
  <c r="G642" i="1"/>
  <c r="H642" i="1"/>
  <c r="J642" i="1" s="1"/>
  <c r="G643" i="1"/>
  <c r="H643" i="1"/>
  <c r="J643" i="1"/>
  <c r="G644" i="1"/>
  <c r="H644" i="1"/>
  <c r="J644" i="1" s="1"/>
  <c r="G645" i="1"/>
  <c r="J645" i="1" s="1"/>
  <c r="H645" i="1"/>
  <c r="F43" i="2" l="1"/>
  <c r="G137" i="2"/>
  <c r="G153" i="2"/>
  <c r="G626" i="1"/>
  <c r="I462" i="1"/>
  <c r="H33" i="13"/>
  <c r="C25" i="13"/>
  <c r="F33" i="13"/>
  <c r="E107" i="2"/>
  <c r="E96" i="2"/>
  <c r="D43" i="2"/>
  <c r="H458" i="1"/>
  <c r="G619" i="1"/>
  <c r="H638" i="1"/>
  <c r="D55" i="2"/>
  <c r="D96" i="2" s="1"/>
  <c r="L330" i="1"/>
  <c r="L344" i="1" s="1"/>
  <c r="G623" i="1" s="1"/>
  <c r="J623" i="1" s="1"/>
  <c r="D31" i="13"/>
  <c r="C31" i="13" s="1"/>
  <c r="J458" i="1"/>
  <c r="G636" i="1"/>
  <c r="G621" i="1"/>
  <c r="L239" i="1"/>
  <c r="H650" i="1" s="1"/>
  <c r="H654" i="1" s="1"/>
  <c r="C10" i="10"/>
  <c r="C101" i="2"/>
  <c r="C107" i="2" s="1"/>
  <c r="G662" i="1"/>
  <c r="G657" i="1"/>
  <c r="I451" i="1"/>
  <c r="H632" i="1" s="1"/>
  <c r="C43" i="2"/>
  <c r="G22" i="2"/>
  <c r="G32" i="2" s="1"/>
  <c r="J33" i="1"/>
  <c r="E136" i="2"/>
  <c r="G37" i="2"/>
  <c r="G42" i="2" s="1"/>
  <c r="G43" i="2" s="1"/>
  <c r="J43" i="1"/>
  <c r="G96" i="2"/>
  <c r="F185" i="1"/>
  <c r="J638" i="1"/>
  <c r="G9" i="2"/>
  <c r="G19" i="2" s="1"/>
  <c r="J19" i="1"/>
  <c r="G611" i="1" s="1"/>
  <c r="L400" i="1"/>
  <c r="C130" i="2"/>
  <c r="C133" i="2" s="1"/>
  <c r="C73" i="2"/>
  <c r="J608" i="1"/>
  <c r="K541" i="1"/>
  <c r="C54" i="2"/>
  <c r="C55" i="2" s="1"/>
  <c r="C96" i="2" s="1"/>
  <c r="E120" i="2"/>
  <c r="G33" i="13"/>
  <c r="G641" i="1"/>
  <c r="J641" i="1" s="1"/>
  <c r="L529" i="1"/>
  <c r="L535" i="1" s="1"/>
  <c r="I450" i="1"/>
  <c r="J263" i="1"/>
  <c r="F652" i="1"/>
  <c r="I652" i="1" s="1"/>
  <c r="C25" i="10"/>
  <c r="G104" i="1"/>
  <c r="G185" i="1" s="1"/>
  <c r="G31" i="13"/>
  <c r="E16" i="13"/>
  <c r="C16" i="13" s="1"/>
  <c r="L519" i="1"/>
  <c r="C135" i="2"/>
  <c r="C136" i="2" s="1"/>
  <c r="F77" i="2"/>
  <c r="F83" i="2" s="1"/>
  <c r="F96" i="2" s="1"/>
  <c r="C13" i="10"/>
  <c r="C113" i="2"/>
  <c r="J539" i="1"/>
  <c r="J542" i="1" s="1"/>
  <c r="C12" i="10"/>
  <c r="D15" i="13"/>
  <c r="C15" i="13" s="1"/>
  <c r="D12" i="13"/>
  <c r="C12" i="13" s="1"/>
  <c r="I104" i="1"/>
  <c r="I185" i="1" s="1"/>
  <c r="C156" i="2"/>
  <c r="G156" i="2" s="1"/>
  <c r="D119" i="2"/>
  <c r="D120" i="2" s="1"/>
  <c r="D137" i="2" s="1"/>
  <c r="H539" i="1"/>
  <c r="H542" i="1" s="1"/>
  <c r="F540" i="1"/>
  <c r="K540" i="1" s="1"/>
  <c r="F651" i="1"/>
  <c r="I651" i="1" s="1"/>
  <c r="C35" i="10"/>
  <c r="L196" i="1"/>
  <c r="L354" i="1"/>
  <c r="L194" i="1"/>
  <c r="L604" i="1"/>
  <c r="C111" i="2"/>
  <c r="C21" i="10"/>
  <c r="I438" i="1"/>
  <c r="G632" i="1" s="1"/>
  <c r="F122" i="2"/>
  <c r="F136" i="2" s="1"/>
  <c r="F137" i="2" s="1"/>
  <c r="C19" i="10"/>
  <c r="D5" i="13"/>
  <c r="G617" i="1" l="1"/>
  <c r="F458" i="1"/>
  <c r="G616" i="1"/>
  <c r="J44" i="1"/>
  <c r="H611" i="1" s="1"/>
  <c r="H657" i="1"/>
  <c r="H662" i="1"/>
  <c r="C36" i="10"/>
  <c r="C41" i="10" s="1"/>
  <c r="C110" i="2"/>
  <c r="D6" i="13"/>
  <c r="C6" i="13" s="1"/>
  <c r="C15" i="10"/>
  <c r="J632" i="1"/>
  <c r="C27" i="10"/>
  <c r="G462" i="1"/>
  <c r="G625" i="1"/>
  <c r="J636" i="1"/>
  <c r="E137" i="2"/>
  <c r="I464" i="1"/>
  <c r="H626" i="1"/>
  <c r="J626" i="1" s="1"/>
  <c r="H636" i="1"/>
  <c r="G627" i="1"/>
  <c r="H621" i="1"/>
  <c r="J621" i="1" s="1"/>
  <c r="H627" i="1"/>
  <c r="J460" i="1"/>
  <c r="J466" i="1" s="1"/>
  <c r="H616" i="1" s="1"/>
  <c r="J611" i="1"/>
  <c r="C5" i="13"/>
  <c r="D33" i="13"/>
  <c r="D36" i="13" s="1"/>
  <c r="L203" i="1"/>
  <c r="K539" i="1"/>
  <c r="K542" i="1" s="1"/>
  <c r="F542" i="1"/>
  <c r="G620" i="1"/>
  <c r="I458" i="1"/>
  <c r="G458" i="1"/>
  <c r="G618" i="1"/>
  <c r="J619" i="1"/>
  <c r="C112" i="2"/>
  <c r="E8" i="13"/>
  <c r="C17" i="10"/>
  <c r="H460" i="1"/>
  <c r="H466" i="1" s="1"/>
  <c r="H614" i="1" s="1"/>
  <c r="J614" i="1" s="1"/>
  <c r="H619" i="1"/>
  <c r="D37" i="10" l="1"/>
  <c r="D38" i="10"/>
  <c r="D39" i="10"/>
  <c r="D40" i="10"/>
  <c r="D35" i="10"/>
  <c r="E33" i="13"/>
  <c r="D35" i="13" s="1"/>
  <c r="C8" i="13"/>
  <c r="J625" i="1"/>
  <c r="C120" i="2"/>
  <c r="C137" i="2" s="1"/>
  <c r="L249" i="1"/>
  <c r="L263" i="1" s="1"/>
  <c r="F650" i="1"/>
  <c r="D27" i="10"/>
  <c r="H625" i="1"/>
  <c r="G464" i="1"/>
  <c r="D17" i="10"/>
  <c r="H618" i="1"/>
  <c r="J618" i="1" s="1"/>
  <c r="G460" i="1"/>
  <c r="G466" i="1" s="1"/>
  <c r="H613" i="1" s="1"/>
  <c r="J613" i="1" s="1"/>
  <c r="H620" i="1"/>
  <c r="J620" i="1" s="1"/>
  <c r="I460" i="1"/>
  <c r="I466" i="1" s="1"/>
  <c r="H615" i="1" s="1"/>
  <c r="J615" i="1" s="1"/>
  <c r="J627" i="1"/>
  <c r="F460" i="1"/>
  <c r="H617" i="1"/>
  <c r="J617" i="1" s="1"/>
  <c r="D36" i="10"/>
  <c r="J616" i="1"/>
  <c r="C28" i="10"/>
  <c r="D15" i="10"/>
  <c r="F654" i="1" l="1"/>
  <c r="I650" i="1"/>
  <c r="I654" i="1" s="1"/>
  <c r="G622" i="1"/>
  <c r="F462" i="1"/>
  <c r="D41" i="10"/>
  <c r="C30" i="10"/>
  <c r="D22" i="10"/>
  <c r="D16" i="10"/>
  <c r="D24" i="10"/>
  <c r="D26" i="10"/>
  <c r="D23" i="10"/>
  <c r="D20" i="10"/>
  <c r="D11" i="10"/>
  <c r="D18" i="10"/>
  <c r="D10" i="10"/>
  <c r="D12" i="10"/>
  <c r="D19" i="10"/>
  <c r="D13" i="10"/>
  <c r="D25" i="10"/>
  <c r="D21" i="10"/>
  <c r="H622" i="1" l="1"/>
  <c r="J622" i="1" s="1"/>
  <c r="F464" i="1"/>
  <c r="F466" i="1" s="1"/>
  <c r="H612" i="1" s="1"/>
  <c r="J612" i="1" s="1"/>
  <c r="I662" i="1"/>
  <c r="C7" i="10" s="1"/>
  <c r="I657" i="1"/>
  <c r="D28" i="10"/>
  <c r="F657" i="1"/>
  <c r="F662" i="1"/>
  <c r="C4" i="10" s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5B967C0-21F2-4EEA-BA94-75428C138D1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C786897-E07F-4D05-8E73-DFCF7CD7CEA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BCEDEE0-A2B4-4980-A37A-C0BD596675E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8167A21-AAC2-48E6-A048-364611E4178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D586199-05F1-4D77-B08F-1BE5A0E6FE2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DF87EDB-933A-4D07-A5D1-D0FF737D1D7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07A78B9-64A9-40A7-8301-35F030E7A5D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5595A19-64CE-40F4-BB49-1C018D9E55F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9E5964A-A307-45B7-94DD-CC18006CFAD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5633CBB-05C0-4F15-9128-9256FCE6C54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4439E06-5BBA-480B-B970-A1C28D3F698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087B54E-DB0D-4DF9-8FC5-15C232642BB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<sst xmlns="http://schemas.openxmlformats.org/spreadsheetml/2006/main" count="3860" uniqueCount="897">
  <si>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</si>
  <si>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</si>
  <si>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</si>
  <si>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</si>
  <si>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</si>
  <si>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</si>
  <si>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</si>
  <si>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</si>
  <si>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</si>
  <si>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</si>
  <si>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</si>
  <si>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</si>
  <si>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</si>
  <si>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</si>
  <si>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</si>
  <si>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</si>
  <si>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</si>
  <si>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</si>
  <si>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</si>
  <si>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</si>
  <si>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</si>
  <si>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</si>
  <si>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</si>
  <si>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</si>
  <si>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</si>
  <si>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</si>
  <si>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</si>
  <si>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</si>
  <si>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</si>
  <si>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</si>
  <si>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</si>
  <si>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</si>
  <si>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</si>
  <si>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</si>
  <si>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</si>
  <si>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</si>
  <si>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</si>
  <si>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</si>
  <si>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</si>
  <si>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</si>
  <si>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</si>
  <si>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</si>
  <si>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</si>
  <si>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</si>
  <si>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</si>
  <si>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</si>
  <si>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</si>
  <si>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</si>
  <si>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</si>
  <si>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</si>
  <si>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</si>
  <si>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</si>
  <si>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</si>
  <si>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</si>
  <si>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</si>
  <si>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</si>
  <si>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</si>
  <si>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</si>
  <si>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</si>
  <si>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</si>
  <si>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</si>
  <si>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</si>
  <si>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</si>
  <si>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</si>
  <si>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</si>
  <si>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</si>
  <si>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</si>
  <si>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</si>
  <si>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</si>
  <si>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</si>
  <si>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</si>
  <si>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</si>
  <si>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</si>
  <si>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</si>
  <si>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</si>
  <si>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</si>
  <si>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</si>
  <si>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</si>
  <si>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</si>
  <si>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</si>
  <si>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</si>
  <si>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</si>
  <si>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</si>
  <si>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</si>
  <si>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</si>
  <si>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</si>
  <si>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</si>
  <si>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</si>
  <si>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</si>
  <si>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</si>
  <si>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</si>
  <si>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</si>
  <si>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</si>
  <si>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</si>
  <si>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</si>
  <si>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</si>
  <si>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</si>
  <si>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</si>
  <si>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</si>
  <si>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</si>
  <si>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</si>
  <si>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</si>
  <si>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</si>
  <si>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</si>
  <si>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</si>
  <si>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</si>
  <si>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</si>
  <si>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</si>
  <si>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</si>
  <si>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</si>
  <si>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</si>
  <si>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</si>
  <si>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</si>
  <si>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</si>
  <si>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</si>
  <si>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</si>
  <si>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</si>
  <si>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</si>
  <si>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</si>
  <si>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</si>
  <si>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</si>
  <si>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</si>
  <si>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</si>
  <si>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</si>
  <si>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</si>
  <si>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</si>
  <si>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</si>
  <si>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</si>
  <si>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</si>
  <si>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</si>
  <si>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</si>
  <si>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</si>
  <si>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</si>
  <si>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</si>
  <si>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</si>
  <si>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</si>
  <si>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</si>
  <si>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</si>
  <si>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</si>
  <si>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</si>
  <si>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</si>
  <si>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</si>
  <si>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</si>
  <si>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</si>
  <si>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</si>
  <si>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</si>
  <si>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</si>
  <si>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</si>
  <si>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</si>
  <si>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</si>
  <si>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</si>
  <si>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</si>
  <si>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</si>
  <si>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</si>
  <si>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</si>
  <si>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</si>
  <si>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</si>
  <si>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</si>
  <si>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</si>
  <si>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</si>
  <si>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</si>
  <si>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</si>
  <si>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</si>
  <si>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</si>
  <si>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</si>
  <si>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</si>
  <si>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</si>
  <si>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</si>
  <si>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</si>
  <si>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</si>
  <si>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</si>
  <si>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</si>
  <si>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</si>
  <si>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</si>
  <si>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</si>
  <si>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</si>
  <si>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</si>
  <si>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</si>
  <si>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</si>
  <si>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</si>
  <si>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</si>
  <si>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</si>
  <si>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</si>
  <si>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</si>
  <si>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</si>
  <si>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</si>
  <si>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</si>
  <si>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</si>
  <si>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</si>
  <si>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</si>
  <si>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</si>
  <si>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</si>
  <si>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</si>
  <si>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</si>
  <si>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</si>
  <si>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</si>
  <si>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</si>
  <si>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</si>
  <si>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</si>
  <si>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</si>
  <si>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</si>
  <si>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</si>
  <si>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</si>
  <si>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</si>
  <si>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</si>
  <si>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</si>
  <si>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</si>
  <si>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</si>
  <si>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</si>
  <si>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</si>
  <si>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</si>
  <si>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</si>
  <si>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</si>
  <si>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</si>
  <si>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</si>
  <si>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</si>
  <si>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</si>
  <si>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</si>
  <si>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</si>
  <si>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</si>
  <si>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</si>
  <si>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</si>
  <si>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</si>
  <si>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</si>
  <si>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</si>
  <si>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</si>
  <si>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</si>
  <si>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</si>
  <si>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</si>
  <si>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</si>
  <si>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</si>
  <si>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</si>
  <si>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</si>
  <si>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</si>
  <si>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</si>
  <si>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</si>
  <si>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</si>
  <si>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</si>
  <si>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</si>
  <si>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</si>
  <si>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</si>
  <si>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</si>
  <si>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</si>
  <si>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</si>
  <si>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</si>
  <si>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</si>
  <si>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</si>
  <si>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</si>
  <si>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</si>
  <si>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</si>
  <si>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</si>
  <si>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</si>
  <si>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</si>
  <si>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</si>
  <si>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</si>
  <si>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</si>
  <si>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</si>
  <si>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</si>
  <si>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</si>
  <si>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</si>
  <si>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</si>
  <si>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</si>
  <si>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</si>
  <si>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</si>
  <si>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</si>
  <si>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</si>
  <si>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</si>
  <si>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</si>
  <si>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</si>
  <si>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</si>
  <si>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</si>
  <si>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</si>
  <si>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</si>
  <si>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</si>
  <si>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</si>
  <si>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</si>
  <si>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</si>
  <si>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</si>
  <si>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</si>
  <si>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</si>
  <si>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</si>
  <si>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</si>
  <si>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</si>
  <si>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</si>
  <si>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</si>
  <si>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</si>
  <si>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</si>
  <si>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</si>
  <si>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</si>
  <si>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</si>
  <si>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</si>
  <si>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</si>
  <si>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</si>
  <si>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</si>
  <si>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</si>
  <si>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</si>
  <si>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</si>
  <si>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</si>
  <si>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</si>
  <si>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</si>
  <si>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</si>
  <si>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</si>
  <si>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</si>
  <si>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</si>
  <si>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</si>
  <si>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</si>
  <si>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</si>
  <si>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</si>
  <si>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</si>
  <si>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</si>
  <si>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</si>
  <si>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</si>
  <si>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</si>
  <si>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</si>
  <si>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</si>
  <si>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</si>
  <si>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</si>
  <si>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</si>
  <si>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</si>
  <si>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</si>
  <si>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</si>
  <si>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</si>
  <si>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</si>
  <si>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</si>
  <si>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</si>
  <si>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</si>
  <si>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</si>
  <si>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</si>
  <si>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</si>
  <si>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</si>
  <si>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</si>
  <si>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</si>
  <si>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</si>
  <si>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</si>
  <si>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</si>
  <si>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</si>
  <si>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</si>
  <si>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</si>
  <si>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</si>
  <si>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</si>
  <si>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</si>
  <si>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</si>
  <si>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</si>
  <si>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</si>
  <si>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</si>
  <si>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</si>
  <si>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</si>
  <si>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</si>
  <si>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</si>
  <si>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</si>
  <si>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</si>
  <si>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</si>
  <si>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</si>
  <si>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</si>
  <si>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</si>
  <si>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</si>
  <si>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</si>
  <si>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</si>
  <si>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</si>
  <si>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</si>
  <si>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</si>
  <si>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</si>
  <si>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</si>
  <si>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</si>
  <si>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</si>
  <si>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</si>
  <si>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</si>
  <si>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</si>
  <si>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</si>
  <si>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</si>
  <si>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</si>
  <si>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</si>
  <si>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</si>
  <si>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</si>
  <si>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</si>
  <si>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</si>
  <si>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</si>
  <si>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</si>
  <si>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</si>
  <si>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</si>
  <si>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</si>
  <si>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</si>
  <si>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</si>
  <si>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</si>
  <si>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</si>
  <si>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</si>
  <si>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</si>
  <si>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</si>
  <si>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</si>
  <si>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</si>
  <si>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</si>
  <si>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</si>
  <si>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</si>
  <si>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</si>
  <si>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</si>
  <si>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</si>
  <si>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</si>
  <si>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</si>
  <si>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</si>
  <si>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</si>
  <si>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</si>
  <si>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</si>
  <si>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</si>
  <si>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</si>
  <si>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</si>
  <si>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</si>
  <si>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</si>
  <si>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</si>
  <si>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</si>
  <si>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</si>
  <si>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</si>
  <si>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</si>
  <si>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</si>
  <si>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</si>
  <si>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</si>
  <si>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</si>
  <si>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</si>
  <si>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</si>
  <si>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</si>
  <si>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</si>
  <si>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</si>
  <si>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</si>
  <si>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</si>
  <si>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</si>
  <si>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</si>
  <si>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</si>
  <si>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</si>
  <si>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</si>
  <si>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</si>
  <si>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</si>
  <si>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</si>
  <si>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</si>
  <si>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</si>
  <si>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</si>
  <si>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</si>
  <si>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</si>
  <si>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</si>
  <si>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</si>
  <si>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</si>
  <si>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</si>
  <si>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</si>
  <si>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</si>
  <si>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</si>
  <si>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</si>
  <si>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</si>
  <si>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</si>
  <si>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</si>
  <si>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</si>
  <si>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</si>
  <si>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</si>
  <si>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</si>
  <si>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</si>
  <si>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</si>
  <si>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</si>
  <si>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</si>
  <si>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</si>
  <si>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</si>
  <si>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</si>
  <si>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</si>
  <si>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</si>
  <si>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</si>
  <si>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</si>
  <si>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</si>
  <si>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</si>
  <si>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</si>
  <si>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</si>
  <si>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</si>
  <si>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</si>
  <si>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</si>
  <si>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</si>
  <si>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</si>
  <si>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</si>
  <si>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</si>
  <si>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</si>
  <si>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</si>
  <si>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</si>
  <si>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</si>
  <si>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</si>
  <si>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</si>
  <si>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</si>
  <si>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</si>
  <si>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</si>
  <si>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</si>
  <si>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</si>
  <si>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</si>
  <si>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</si>
  <si>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</si>
  <si>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</si>
  <si>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</si>
  <si>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</si>
  <si>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</si>
  <si>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</si>
  <si>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</si>
  <si>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</si>
  <si>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</si>
  <si>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</si>
  <si>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</si>
  <si>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</si>
  <si>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</si>
  <si>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</si>
  <si>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</si>
  <si>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</si>
  <si>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</si>
  <si>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</si>
  <si>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</si>
  <si>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</si>
  <si>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</si>
  <si>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</si>
  <si>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</si>
  <si>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</si>
  <si>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</si>
  <si>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</si>
  <si>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</si>
  <si>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</si>
  <si>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</si>
  <si>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</si>
  <si>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</si>
  <si>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</si>
  <si>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</si>
  <si>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</si>
  <si>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</si>
  <si>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</si>
  <si>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</si>
  <si>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</si>
  <si>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</si>
  <si>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</si>
  <si>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</si>
  <si>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</si>
  <si>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</si>
  <si>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</si>
  <si>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</si>
  <si>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</si>
  <si>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</si>
  <si>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</si>
  <si>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</si>
  <si>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</si>
  <si>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</si>
  <si>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</si>
  <si>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</si>
  <si>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</si>
  <si>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</si>
  <si>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</si>
  <si>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</si>
  <si>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</si>
  <si>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</si>
  <si>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</si>
  <si>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</si>
  <si>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</si>
  <si>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</si>
  <si>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</si>
  <si>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</si>
  <si>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</si>
  <si>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</si>
  <si>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</si>
  <si>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</si>
  <si>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</si>
  <si>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</si>
  <si>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</si>
  <si>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</si>
  <si>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</si>
  <si>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</si>
  <si>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</si>
  <si>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</si>
  <si>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</si>
  <si>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</si>
  <si>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</si>
  <si>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</si>
  <si>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</si>
  <si>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</si>
  <si>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</si>
  <si>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</si>
  <si>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</si>
  <si>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</si>
  <si>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</si>
  <si>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</si>
  <si>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</si>
  <si>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</si>
  <si>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</si>
  <si>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</si>
  <si>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</si>
  <si>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</si>
  <si>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</si>
  <si>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</si>
  <si>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</si>
  <si>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</si>
  <si>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</si>
  <si>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</si>
  <si>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</si>
  <si>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</si>
  <si>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</si>
  <si>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</si>
  <si>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</si>
  <si>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</si>
  <si>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</si>
  <si>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</si>
  <si>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</si>
  <si>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</si>
  <si>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</si>
  <si>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</si>
  <si>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</si>
  <si>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</si>
  <si>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</si>
  <si>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</si>
  <si>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</si>
  <si>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</si>
  <si>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</si>
  <si>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</si>
  <si>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</si>
  <si>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</si>
  <si>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</si>
  <si>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</si>
  <si>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</si>
  <si>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</si>
  <si>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</si>
  <si>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</si>
  <si>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</si>
  <si>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</si>
  <si>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</si>
  <si>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</si>
  <si>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</si>
  <si>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</si>
  <si>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</si>
  <si>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</si>
  <si>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</si>
  <si>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</si>
  <si>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</si>
  <si>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</si>
  <si>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</si>
  <si>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</si>
  <si>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</si>
  <si>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</si>
  <si>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</si>
  <si>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</si>
  <si>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</si>
  <si>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</si>
  <si>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</si>
  <si>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</si>
  <si>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</si>
  <si>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</si>
  <si>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</si>
  <si>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</si>
  <si>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</si>
  <si>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</si>
  <si>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</si>
  <si>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</si>
  <si>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</si>
  <si>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</si>
  <si>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</si>
  <si>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</si>
  <si>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</si>
  <si>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</si>
  <si>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</si>
  <si>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</si>
  <si>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</si>
  <si>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</si>
  <si>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</si>
  <si>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</si>
  <si>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</si>
  <si>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</si>
  <si>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</si>
  <si>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</si>
  <si>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</si>
  <si>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</si>
  <si>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</si>
  <si>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</si>
  <si>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</si>
  <si>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</si>
  <si>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</si>
  <si>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</si>
  <si>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</si>
  <si>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</si>
  <si>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</si>
  <si>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</si>
  <si>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</si>
  <si>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</si>
  <si>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</si>
  <si>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</si>
  <si>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</si>
  <si>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</si>
  <si>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</si>
  <si>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</si>
  <si>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</si>
  <si>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</si>
  <si>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</si>
  <si>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</si>
  <si>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</si>
  <si>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</si>
  <si>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</si>
  <si>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</si>
  <si>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</si>
  <si>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</si>
  <si>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</si>
  <si>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</si>
  <si>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</si>
  <si>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</si>
  <si>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</si>
  <si>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</si>
  <si>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</si>
  <si>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</si>
  <si>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</si>
  <si>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</si>
  <si>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</si>
  <si>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</si>
  <si>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</si>
  <si>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</si>
  <si>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</si>
  <si>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</si>
  <si>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</si>
  <si>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</si>
  <si>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</si>
  <si>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</si>
  <si>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</si>
  <si>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</si>
  <si>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</si>
  <si>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</si>
  <si>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</si>
  <si>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</si>
  <si>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</si>
  <si>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</si>
  <si>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</si>
  <si>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</si>
  <si>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</si>
  <si>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</si>
  <si>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</si>
  <si>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</si>
  <si>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</si>
  <si>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</si>
  <si>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</si>
  <si>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</si>
  <si>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</si>
  <si>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</si>
  <si>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</si>
  <si>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</si>
  <si>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</si>
  <si>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</si>
  <si>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</si>
  <si>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</si>
  <si>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</si>
  <si>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</si>
  <si>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</si>
  <si>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</si>
  <si>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</si>
  <si>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</si>
  <si>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</si>
  <si>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</si>
  <si>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</si>
  <si>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</si>
  <si>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</si>
  <si>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</si>
  <si>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</si>
  <si>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</si>
  <si>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</si>
  <si>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</si>
  <si>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</si>
  <si>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</si>
  <si>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</si>
  <si>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</si>
  <si>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</si>
  <si>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</si>
  <si>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</si>
  <si>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</si>
  <si>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</si>
  <si>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</si>
  <si>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</si>
  <si>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</si>
  <si>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</si>
  <si>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</si>
  <si>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</si>
  <si>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</si>
  <si>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</si>
  <si>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</si>
  <si>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</si>
  <si>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</si>
  <si>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</si>
  <si>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</si>
  <si>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</si>
  <si>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</si>
  <si>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</si>
  <si>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</si>
  <si>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</si>
  <si>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</si>
  <si>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</si>
  <si>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</si>
  <si>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</si>
  <si>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</si>
  <si>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</si>
  <si>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</si>
  <si>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</si>
  <si>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</si>
  <si>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</si>
  <si>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</si>
  <si>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</si>
  <si>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</si>
  <si>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</si>
  <si>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</si>
  <si>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</si>
  <si>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</si>
  <si>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</si>
  <si>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</si>
  <si>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</si>
  <si>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</si>
  <si>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</si>
  <si>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</si>
  <si>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</si>
  <si>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</si>
  <si>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</si>
  <si>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</si>
  <si>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</si>
  <si>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</si>
  <si>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</si>
  <si>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</si>
  <si>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</si>
  <si>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</si>
  <si>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</si>
  <si>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</si>
  <si>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</si>
  <si>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</si>
  <si>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</si>
  <si>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</si>
  <si>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</si>
  <si>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</si>
  <si>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</si>
  <si>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</si>
  <si>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</si>
  <si>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</si>
  <si>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</si>
  <si>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</si>
  <si>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</si>
  <si>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</si>
  <si>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</si>
  <si>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</si>
  <si>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</si>
  <si>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</si>
  <si>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</si>
  <si>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</si>
  <si>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</si>
  <si>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</si>
  <si>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</si>
  <si>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</si>
  <si>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</si>
  <si>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</si>
  <si>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</si>
  <si>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</si>
  <si>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</si>
  <si>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</si>
  <si>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</si>
  <si>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</si>
  <si>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</si>
  <si>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</si>
  <si>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</si>
  <si>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</si>
  <si>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</si>
  <si>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</si>
  <si>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</si>
  <si>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</si>
  <si>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</si>
  <si>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</si>
  <si>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</si>
  <si>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</si>
  <si>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</si>
  <si>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</si>
  <si>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</si>
  <si>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</si>
  <si>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</si>
  <si>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</si>
  <si>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</si>
  <si>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</si>
  <si>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</si>
  <si>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</si>
  <si>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</si>
  <si>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</si>
  <si>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</si>
  <si>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</si>
  <si>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</si>
  <si>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</si>
  <si>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</si>
  <si>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</si>
  <si>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</si>
  <si>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</si>
  <si>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</si>
  <si>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</si>
  <si>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</si>
  <si>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</si>
  <si>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</si>
  <si>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</si>
  <si>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</si>
  <si>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</si>
  <si>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</si>
  <si>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</si>
  <si>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</si>
  <si>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</si>
  <si>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</si>
  <si>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</si>
  <si>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</si>
  <si>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Mason School District</t>
  </si>
  <si>
    <t>07/09</t>
  </si>
  <si>
    <t>08/29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</si>
</sst>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BCFE-1644-45E0-93EE-6A4B60332E4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345</v>
      </c>
      <c r="C2" s="21">
        <v>345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158501</v>
      </c>
      <c r="G9" s="18">
        <v>0</v>
      </c>
      <c r="H9" s="18"/>
      <c r="I9" s="18">
        <v>199792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>
        <v>0</v>
      </c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18158+679</f>
        <v>18837</v>
      </c>
      <c r="G13" s="18">
        <v>679</v>
      </c>
      <c r="H13" s="18"/>
      <c r="I13" s="18">
        <v>54075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8440+572</f>
        <v>9012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186350</v>
      </c>
      <c r="G19" s="41">
        <f>SUM(G9:G18)</f>
        <v>679</v>
      </c>
      <c r="H19" s="41">
        <f>SUM(H9:H18)</f>
        <v>0</v>
      </c>
      <c r="I19" s="41">
        <f>SUM(I9:I18)</f>
        <v>253867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679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5887+15041+2645</f>
        <v>23573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10141.42+26601.58</f>
        <v>36743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60316</v>
      </c>
      <c r="G33" s="41">
        <f>SUM(G23:G32)</f>
        <v>679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58463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>
        <v>253867</v>
      </c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67571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126034</v>
      </c>
      <c r="G43" s="41">
        <f>SUM(G35:G42)</f>
        <v>0</v>
      </c>
      <c r="H43" s="41">
        <f>SUM(H35:H42)</f>
        <v>0</v>
      </c>
      <c r="I43" s="41">
        <f>SUM(I35:I42)</f>
        <v>253867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186350</v>
      </c>
      <c r="G44" s="41">
        <f>G43+G33</f>
        <v>679</v>
      </c>
      <c r="H44" s="41">
        <f>H43+H33</f>
        <v>0</v>
      </c>
      <c r="I44" s="41">
        <f>I43+I33</f>
        <v>253867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2075029-F110</f>
        <v>1717997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1717997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9525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9525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956.47</f>
        <v>956.47</v>
      </c>
      <c r="G88" s="18"/>
      <c r="H88" s="18"/>
      <c r="I88" s="18">
        <v>10461.549999999999</v>
      </c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24089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f>248+225</f>
        <v>473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475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1904.47</v>
      </c>
      <c r="G103" s="41">
        <f>SUM(G88:G102)</f>
        <v>24089</v>
      </c>
      <c r="H103" s="41">
        <f>SUM(H88:H102)</f>
        <v>0</v>
      </c>
      <c r="I103" s="41">
        <f>SUM(I88:I102)</f>
        <v>10461.549999999999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1729426.47</v>
      </c>
      <c r="G104" s="41">
        <f>G52+G103</f>
        <v>24089</v>
      </c>
      <c r="H104" s="41">
        <f>H52+H71+H86+H103</f>
        <v>0</v>
      </c>
      <c r="I104" s="41">
        <f>I52+I103</f>
        <v>10461.549999999999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208037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357032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79818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644887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>
        <f>51137+54075+169369</f>
        <v>274581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22425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4328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22425</v>
      </c>
      <c r="G128" s="41">
        <f>SUM(G115:G127)</f>
        <v>4328</v>
      </c>
      <c r="H128" s="41">
        <f>SUM(H115:H127)</f>
        <v>0</v>
      </c>
      <c r="I128" s="41">
        <f>SUM(I115:I127)</f>
        <v>274581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667312</v>
      </c>
      <c r="G132" s="41">
        <f>G113+SUM(G128:G129)</f>
        <v>4328</v>
      </c>
      <c r="H132" s="41">
        <f>H113+SUM(H128:H131)</f>
        <v>0</v>
      </c>
      <c r="I132" s="41">
        <f>I113+I128</f>
        <v>274581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f>8500+18158</f>
        <v>26658</v>
      </c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8406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26658</v>
      </c>
      <c r="G154" s="41">
        <f>SUM(G142:G153)</f>
        <v>8406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26658</v>
      </c>
      <c r="G161" s="41">
        <f>G139+G154+SUM(G155:G160)</f>
        <v>8406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4975910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>
        <v>143292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5119202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36763.15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36763.15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36763.15</v>
      </c>
      <c r="H184" s="41">
        <f>+H175+SUM(H180:H183)</f>
        <v>0</v>
      </c>
      <c r="I184" s="41">
        <f>I169+I175+SUM(I180:I183)</f>
        <v>5119202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2423396.4699999997</v>
      </c>
      <c r="G185" s="47">
        <f>G104+G132+G161+G184</f>
        <v>73586.149999999994</v>
      </c>
      <c r="H185" s="47">
        <f>H104+H132+H161+H184</f>
        <v>0</v>
      </c>
      <c r="I185" s="47">
        <f>I104+I132+I161+I184</f>
        <v>5404244.5499999998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353763</v>
      </c>
      <c r="G189" s="18">
        <v>165154</v>
      </c>
      <c r="H189" s="18">
        <v>405.32</v>
      </c>
      <c r="I189" s="18">
        <v>27008</v>
      </c>
      <c r="J189" s="18">
        <v>22383</v>
      </c>
      <c r="K189" s="18">
        <v>519</v>
      </c>
      <c r="L189" s="19">
        <f>SUM(F189:K189)</f>
        <v>569232.32000000007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93758</v>
      </c>
      <c r="G190" s="18">
        <v>7924</v>
      </c>
      <c r="H190" s="18"/>
      <c r="I190" s="18">
        <v>8336</v>
      </c>
      <c r="J190" s="18"/>
      <c r="K190" s="18">
        <v>2500</v>
      </c>
      <c r="L190" s="19">
        <f>SUM(F190:K190)</f>
        <v>112518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23589</v>
      </c>
      <c r="G194" s="18">
        <v>1845</v>
      </c>
      <c r="H194" s="18">
        <f>33599+8</f>
        <v>33607</v>
      </c>
      <c r="I194" s="18">
        <v>679</v>
      </c>
      <c r="J194" s="18"/>
      <c r="K194" s="18">
        <v>234</v>
      </c>
      <c r="L194" s="19">
        <f t="shared" ref="L194:L200" si="0">SUM(F194:K194)</f>
        <v>59954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5087+92600</f>
        <v>97687</v>
      </c>
      <c r="G196" s="18">
        <f>38331+0</f>
        <v>38331</v>
      </c>
      <c r="H196" s="18">
        <f>3697+33362</f>
        <v>37059</v>
      </c>
      <c r="I196" s="18">
        <f>3462+1085</f>
        <v>4547</v>
      </c>
      <c r="J196" s="18"/>
      <c r="K196" s="18">
        <v>300</v>
      </c>
      <c r="L196" s="19">
        <f t="shared" si="0"/>
        <v>177924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85700</v>
      </c>
      <c r="G197" s="18">
        <v>44490</v>
      </c>
      <c r="H197" s="18">
        <v>9012</v>
      </c>
      <c r="I197" s="18">
        <v>13498</v>
      </c>
      <c r="J197" s="18"/>
      <c r="K197" s="18">
        <v>602</v>
      </c>
      <c r="L197" s="19">
        <f t="shared" si="0"/>
        <v>153302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52280</v>
      </c>
      <c r="I198" s="18"/>
      <c r="J198" s="18"/>
      <c r="K198" s="18"/>
      <c r="L198" s="19">
        <f t="shared" si="0"/>
        <v>52280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24276</v>
      </c>
      <c r="G199" s="18">
        <v>1897</v>
      </c>
      <c r="H199" s="18">
        <v>1551</v>
      </c>
      <c r="I199" s="18">
        <v>40884</v>
      </c>
      <c r="J199" s="18">
        <v>1604</v>
      </c>
      <c r="K199" s="18"/>
      <c r="L199" s="19">
        <f t="shared" si="0"/>
        <v>70212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92450</v>
      </c>
      <c r="I200" s="18"/>
      <c r="J200" s="18"/>
      <c r="K200" s="18"/>
      <c r="L200" s="19">
        <f t="shared" si="0"/>
        <v>92450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1360</v>
      </c>
      <c r="I201" s="18"/>
      <c r="J201" s="18">
        <v>120</v>
      </c>
      <c r="K201" s="18"/>
      <c r="L201" s="19">
        <f>SUM(F201:K201)</f>
        <v>1480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678773</v>
      </c>
      <c r="G203" s="41">
        <f t="shared" si="1"/>
        <v>259641</v>
      </c>
      <c r="H203" s="41">
        <f t="shared" si="1"/>
        <v>227724.32</v>
      </c>
      <c r="I203" s="41">
        <f t="shared" si="1"/>
        <v>94952</v>
      </c>
      <c r="J203" s="41">
        <f t="shared" si="1"/>
        <v>24107</v>
      </c>
      <c r="K203" s="41">
        <f t="shared" si="1"/>
        <v>4155</v>
      </c>
      <c r="L203" s="41">
        <f t="shared" si="1"/>
        <v>1289352.32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271417</v>
      </c>
      <c r="I207" s="18"/>
      <c r="J207" s="18"/>
      <c r="K207" s="18"/>
      <c r="L207" s="19">
        <f>SUM(F207:K207)</f>
        <v>271417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94747</v>
      </c>
      <c r="I208" s="18"/>
      <c r="J208" s="18"/>
      <c r="K208" s="18"/>
      <c r="L208" s="19">
        <f>SUM(F208:K208)</f>
        <v>94747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19771</v>
      </c>
      <c r="I218" s="18"/>
      <c r="J218" s="18"/>
      <c r="K218" s="18"/>
      <c r="L218" s="19">
        <f t="shared" si="2"/>
        <v>19771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385935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385935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217990+262936</f>
        <v>480926</v>
      </c>
      <c r="I225" s="18"/>
      <c r="J225" s="18"/>
      <c r="K225" s="18"/>
      <c r="L225" s="19">
        <f>SUM(F225:K225)</f>
        <v>480926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63164+22069</f>
        <v>85233</v>
      </c>
      <c r="I226" s="18"/>
      <c r="J226" s="18"/>
      <c r="K226" s="18"/>
      <c r="L226" s="19">
        <f>SUM(F226:K226)</f>
        <v>85233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19153</v>
      </c>
      <c r="I236" s="18"/>
      <c r="J236" s="18"/>
      <c r="K236" s="18"/>
      <c r="L236" s="19">
        <f t="shared" si="4"/>
        <v>19153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585312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585312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678773</v>
      </c>
      <c r="G249" s="41">
        <f t="shared" si="8"/>
        <v>259641</v>
      </c>
      <c r="H249" s="41">
        <f t="shared" si="8"/>
        <v>1198971.32</v>
      </c>
      <c r="I249" s="41">
        <f t="shared" si="8"/>
        <v>94952</v>
      </c>
      <c r="J249" s="41">
        <f t="shared" si="8"/>
        <v>24107</v>
      </c>
      <c r="K249" s="41">
        <f t="shared" si="8"/>
        <v>4155</v>
      </c>
      <c r="L249" s="41">
        <f t="shared" si="8"/>
        <v>2260599.3200000003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36763.15</v>
      </c>
      <c r="L255" s="19">
        <f>SUM(F255:K255)</f>
        <v>36763.15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36763.15</v>
      </c>
      <c r="L262" s="41">
        <f t="shared" si="9"/>
        <v>36763.15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678773</v>
      </c>
      <c r="G263" s="42">
        <f t="shared" si="11"/>
        <v>259641</v>
      </c>
      <c r="H263" s="42">
        <f t="shared" si="11"/>
        <v>1198971.32</v>
      </c>
      <c r="I263" s="42">
        <f t="shared" si="11"/>
        <v>94952</v>
      </c>
      <c r="J263" s="42">
        <f t="shared" si="11"/>
        <v>24107</v>
      </c>
      <c r="K263" s="42">
        <f t="shared" si="11"/>
        <v>40918.15</v>
      </c>
      <c r="L263" s="42">
        <f t="shared" si="11"/>
        <v>2297362.4700000002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35038</v>
      </c>
      <c r="G350" s="18">
        <f>12056+937+2680+1482.15</f>
        <v>17155.150000000001</v>
      </c>
      <c r="H350" s="18"/>
      <c r="I350" s="18">
        <v>21393</v>
      </c>
      <c r="J350" s="18"/>
      <c r="K350" s="18"/>
      <c r="L350" s="13">
        <f>SUM(F350:K350)</f>
        <v>73586.149999999994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35038</v>
      </c>
      <c r="G354" s="47">
        <f t="shared" si="22"/>
        <v>17155.150000000001</v>
      </c>
      <c r="H354" s="47">
        <f t="shared" si="22"/>
        <v>0</v>
      </c>
      <c r="I354" s="47">
        <f t="shared" si="22"/>
        <v>21393</v>
      </c>
      <c r="J354" s="47">
        <f t="shared" si="22"/>
        <v>0</v>
      </c>
      <c r="K354" s="47">
        <f t="shared" si="22"/>
        <v>0</v>
      </c>
      <c r="L354" s="47">
        <f t="shared" si="22"/>
        <v>73586.149999999994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19862+1148-1258</f>
        <v>19752</v>
      </c>
      <c r="G359" s="18"/>
      <c r="H359" s="18"/>
      <c r="I359" s="56">
        <f>SUM(F359:H359)</f>
        <v>19752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21393-F359</f>
        <v>1641</v>
      </c>
      <c r="G360" s="63"/>
      <c r="H360" s="63"/>
      <c r="I360" s="56">
        <f>SUM(F360:H360)</f>
        <v>1641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21393</v>
      </c>
      <c r="G361" s="47">
        <f>SUM(G359:G360)</f>
        <v>0</v>
      </c>
      <c r="H361" s="47">
        <f>SUM(H359:H360)</f>
        <v>0</v>
      </c>
      <c r="I361" s="47">
        <f>SUM(I359:I360)</f>
        <v>21393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>
        <v>125239</v>
      </c>
      <c r="I366" s="18"/>
      <c r="J366" s="18"/>
      <c r="K366" s="18"/>
      <c r="L366" s="13">
        <f>SUM(F366:K366)</f>
        <v>125239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v>352585</v>
      </c>
      <c r="I367" s="18"/>
      <c r="J367" s="18"/>
      <c r="K367" s="18"/>
      <c r="L367" s="13">
        <f t="shared" ref="L367:L373" si="23">SUM(F367:K367)</f>
        <v>352585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f>281783+18419</f>
        <v>300202</v>
      </c>
      <c r="I368" s="18"/>
      <c r="J368" s="18"/>
      <c r="K368" s="18"/>
      <c r="L368" s="13">
        <f t="shared" si="23"/>
        <v>300202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2786456.55</v>
      </c>
      <c r="I370" s="18"/>
      <c r="J370" s="18"/>
      <c r="K370" s="18"/>
      <c r="L370" s="13">
        <f t="shared" si="23"/>
        <v>2786456.55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f>1580732</f>
        <v>1580732</v>
      </c>
      <c r="I371" s="18"/>
      <c r="J371" s="18">
        <v>5163</v>
      </c>
      <c r="K371" s="18"/>
      <c r="L371" s="13">
        <f t="shared" si="23"/>
        <v>1585895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5145214.55</v>
      </c>
      <c r="I374" s="41">
        <f t="shared" si="24"/>
        <v>0</v>
      </c>
      <c r="J374" s="47">
        <f t="shared" si="24"/>
        <v>5163</v>
      </c>
      <c r="K374" s="47">
        <f t="shared" si="24"/>
        <v>0</v>
      </c>
      <c r="L374" s="47">
        <f t="shared" si="24"/>
        <v>5150377.55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0</v>
      </c>
      <c r="G455" s="18">
        <v>0</v>
      </c>
      <c r="H455" s="18">
        <v>0</v>
      </c>
      <c r="I455" s="18">
        <v>0</v>
      </c>
      <c r="J455" s="18">
        <v>0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2423396.4699999997</v>
      </c>
      <c r="G458" s="18">
        <f>G185</f>
        <v>73586.149999999994</v>
      </c>
      <c r="H458" s="18">
        <f>H185</f>
        <v>0</v>
      </c>
      <c r="I458" s="18">
        <f>I185</f>
        <v>5404244.5499999998</v>
      </c>
      <c r="J458" s="18">
        <f>J185</f>
        <v>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2423396.4699999997</v>
      </c>
      <c r="G460" s="53">
        <f>SUM(G458:G459)</f>
        <v>73586.149999999994</v>
      </c>
      <c r="H460" s="53">
        <f>SUM(H458:H459)</f>
        <v>0</v>
      </c>
      <c r="I460" s="53">
        <f>SUM(I458:I459)</f>
        <v>5404244.5499999998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2297362.4700000002</v>
      </c>
      <c r="G462" s="18">
        <f>L354</f>
        <v>73586.149999999994</v>
      </c>
      <c r="H462" s="18"/>
      <c r="I462" s="18">
        <f>L374</f>
        <v>5150377.55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2297362.4700000002</v>
      </c>
      <c r="G464" s="53">
        <f>SUM(G462:G463)</f>
        <v>73586.149999999994</v>
      </c>
      <c r="H464" s="53">
        <f>SUM(H462:H463)</f>
        <v>0</v>
      </c>
      <c r="I464" s="53">
        <f>SUM(I462:I463)</f>
        <v>5150377.55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126033.99999999953</v>
      </c>
      <c r="G466" s="53">
        <f>(G455+G460)- G464</f>
        <v>0</v>
      </c>
      <c r="H466" s="53">
        <f>(H455+H460)- H464</f>
        <v>0</v>
      </c>
      <c r="I466" s="53">
        <f>(I455+I460)- I464</f>
        <v>253867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4975910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3.97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0</v>
      </c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4975910</v>
      </c>
      <c r="G486" s="18"/>
      <c r="H486" s="18"/>
      <c r="I486" s="18"/>
      <c r="J486" s="18"/>
      <c r="K486" s="53">
        <f t="shared" ref="K486:K493" si="34">SUM(F486:J486)</f>
        <v>4975910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F486</f>
        <v>4975910</v>
      </c>
      <c r="G488" s="205"/>
      <c r="H488" s="205"/>
      <c r="I488" s="205"/>
      <c r="J488" s="205"/>
      <c r="K488" s="206">
        <f t="shared" si="34"/>
        <v>4975910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2273858</v>
      </c>
      <c r="G489" s="18"/>
      <c r="H489" s="18"/>
      <c r="I489" s="18"/>
      <c r="J489" s="18"/>
      <c r="K489" s="53">
        <f t="shared" si="34"/>
        <v>2273858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7249768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7249768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245910</v>
      </c>
      <c r="G491" s="205"/>
      <c r="H491" s="205"/>
      <c r="I491" s="205"/>
      <c r="J491" s="205"/>
      <c r="K491" s="206">
        <f t="shared" si="34"/>
        <v>245910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100008.12+96294.88</f>
        <v>196303</v>
      </c>
      <c r="G492" s="18"/>
      <c r="H492" s="18"/>
      <c r="I492" s="18"/>
      <c r="J492" s="18"/>
      <c r="K492" s="53">
        <f t="shared" si="34"/>
        <v>196303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442213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442213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0</v>
      </c>
      <c r="G497" s="144">
        <v>0</v>
      </c>
      <c r="H497" s="144">
        <v>0</v>
      </c>
      <c r="I497" s="144">
        <v>0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>
        <v>125539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>
        <v>352585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>
        <f>5150377.55-5163-352585-125539</f>
        <v>4667090.55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>
        <v>5163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5150377.55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87850</v>
      </c>
      <c r="G511" s="18">
        <v>10612</v>
      </c>
      <c r="H511" s="18"/>
      <c r="I511" s="18">
        <v>8336</v>
      </c>
      <c r="J511" s="18"/>
      <c r="K511" s="18"/>
      <c r="L511" s="88">
        <f>SUM(F511:K511)</f>
        <v>106798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87850</v>
      </c>
      <c r="G514" s="108">
        <f t="shared" ref="G514:L514" si="35">SUM(G511:G513)</f>
        <v>10612</v>
      </c>
      <c r="H514" s="108">
        <f t="shared" si="35"/>
        <v>0</v>
      </c>
      <c r="I514" s="108">
        <f t="shared" si="35"/>
        <v>8336</v>
      </c>
      <c r="J514" s="108">
        <f t="shared" si="35"/>
        <v>0</v>
      </c>
      <c r="K514" s="108">
        <f t="shared" si="35"/>
        <v>0</v>
      </c>
      <c r="L514" s="89">
        <f t="shared" si="35"/>
        <v>106798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33900</v>
      </c>
      <c r="I516" s="18"/>
      <c r="J516" s="18"/>
      <c r="K516" s="18"/>
      <c r="L516" s="88">
        <f>SUM(F516:K516)</f>
        <v>33900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94747</v>
      </c>
      <c r="I517" s="18"/>
      <c r="J517" s="18"/>
      <c r="K517" s="18"/>
      <c r="L517" s="88">
        <f>SUM(F517:K517)</f>
        <v>94747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85233</v>
      </c>
      <c r="I518" s="18"/>
      <c r="J518" s="18"/>
      <c r="K518" s="18"/>
      <c r="L518" s="88">
        <f>SUM(F518:K518)</f>
        <v>85233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213880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213880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33525</v>
      </c>
      <c r="I531" s="18"/>
      <c r="J531" s="18"/>
      <c r="K531" s="18"/>
      <c r="L531" s="88">
        <f>SUM(F531:K531)</f>
        <v>33525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1525</v>
      </c>
      <c r="I532" s="18"/>
      <c r="J532" s="18"/>
      <c r="K532" s="18"/>
      <c r="L532" s="88">
        <f>SUM(F532:K532)</f>
        <v>1525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4235</v>
      </c>
      <c r="I533" s="18"/>
      <c r="J533" s="18"/>
      <c r="K533" s="18"/>
      <c r="L533" s="88">
        <f>SUM(F533:K533)</f>
        <v>4235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39285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39285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87850</v>
      </c>
      <c r="G535" s="89">
        <f t="shared" ref="G535:L535" si="40">G514+G519+G524+G529+G534</f>
        <v>10612</v>
      </c>
      <c r="H535" s="89">
        <f t="shared" si="40"/>
        <v>253165</v>
      </c>
      <c r="I535" s="89">
        <f t="shared" si="40"/>
        <v>8336</v>
      </c>
      <c r="J535" s="89">
        <f t="shared" si="40"/>
        <v>0</v>
      </c>
      <c r="K535" s="89">
        <f t="shared" si="40"/>
        <v>0</v>
      </c>
      <c r="L535" s="89">
        <f t="shared" si="40"/>
        <v>359963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106798</v>
      </c>
      <c r="G539" s="87">
        <f>L516</f>
        <v>33900</v>
      </c>
      <c r="H539" s="87">
        <f>L521</f>
        <v>0</v>
      </c>
      <c r="I539" s="87">
        <f>L526</f>
        <v>0</v>
      </c>
      <c r="J539" s="87">
        <f>L531</f>
        <v>33525</v>
      </c>
      <c r="K539" s="87">
        <f>SUM(F539:J539)</f>
        <v>174223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94747</v>
      </c>
      <c r="H540" s="87">
        <f>L522</f>
        <v>0</v>
      </c>
      <c r="I540" s="87">
        <f>L527</f>
        <v>0</v>
      </c>
      <c r="J540" s="87">
        <f>L532</f>
        <v>1525</v>
      </c>
      <c r="K540" s="87">
        <f>SUM(F540:J540)</f>
        <v>96272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85233</v>
      </c>
      <c r="H541" s="87">
        <f>L523</f>
        <v>0</v>
      </c>
      <c r="I541" s="87">
        <f>L528</f>
        <v>0</v>
      </c>
      <c r="J541" s="87">
        <f>L533</f>
        <v>4235</v>
      </c>
      <c r="K541" s="87">
        <f>SUM(F541:J541)</f>
        <v>89468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106798</v>
      </c>
      <c r="G542" s="89">
        <f t="shared" si="41"/>
        <v>213880</v>
      </c>
      <c r="H542" s="89">
        <f t="shared" si="41"/>
        <v>0</v>
      </c>
      <c r="I542" s="89">
        <f t="shared" si="41"/>
        <v>0</v>
      </c>
      <c r="J542" s="89">
        <f t="shared" si="41"/>
        <v>39285</v>
      </c>
      <c r="K542" s="89">
        <f t="shared" si="41"/>
        <v>359963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271417</v>
      </c>
      <c r="H565" s="18">
        <f>262936+217990</f>
        <v>480926</v>
      </c>
      <c r="I565" s="87">
        <f>SUM(F565:H565)</f>
        <v>752343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94747</v>
      </c>
      <c r="H569" s="18">
        <f>63164</f>
        <v>63164</v>
      </c>
      <c r="I569" s="87">
        <f t="shared" si="46"/>
        <v>157911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22069</v>
      </c>
      <c r="I571" s="87">
        <f t="shared" si="46"/>
        <v>22069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58925</v>
      </c>
      <c r="I581" s="18">
        <f>19771-1525</f>
        <v>18246</v>
      </c>
      <c r="J581" s="18">
        <f>19153-4235</f>
        <v>14918</v>
      </c>
      <c r="K581" s="104">
        <f t="shared" ref="K581:K587" si="47">SUM(H581:J581)</f>
        <v>92089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92450-H581</f>
        <v>33525</v>
      </c>
      <c r="I582" s="18">
        <v>1525</v>
      </c>
      <c r="J582" s="18">
        <v>4235</v>
      </c>
      <c r="K582" s="104">
        <f t="shared" si="47"/>
        <v>39285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92450</v>
      </c>
      <c r="I588" s="108">
        <f>SUM(I581:I587)</f>
        <v>19771</v>
      </c>
      <c r="J588" s="108">
        <f>SUM(J581:J587)</f>
        <v>19153</v>
      </c>
      <c r="K588" s="108">
        <f>SUM(K581:K587)</f>
        <v>131374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24107</v>
      </c>
      <c r="I594" s="18"/>
      <c r="J594" s="18"/>
      <c r="K594" s="104">
        <f>SUM(H594:J594)</f>
        <v>24107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24107</v>
      </c>
      <c r="I595" s="108">
        <f>SUM(I592:I594)</f>
        <v>0</v>
      </c>
      <c r="J595" s="108">
        <f>SUM(J592:J594)</f>
        <v>0</v>
      </c>
      <c r="K595" s="108">
        <f>SUM(K592:K594)</f>
        <v>24107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7658.28</v>
      </c>
      <c r="G601" s="18">
        <v>1168</v>
      </c>
      <c r="H601" s="18">
        <v>1858</v>
      </c>
      <c r="I601" s="18"/>
      <c r="J601" s="18"/>
      <c r="K601" s="18"/>
      <c r="L601" s="88">
        <f>SUM(F601:K601)</f>
        <v>10684.279999999999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7658.28</v>
      </c>
      <c r="G604" s="108">
        <f t="shared" si="48"/>
        <v>1168</v>
      </c>
      <c r="H604" s="108">
        <f t="shared" si="48"/>
        <v>1858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10684.279999999999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186350</v>
      </c>
      <c r="H607" s="109">
        <f>SUM(F44)</f>
        <v>186350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679</v>
      </c>
      <c r="H608" s="109">
        <f>SUM(G44)</f>
        <v>679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253867</v>
      </c>
      <c r="H610" s="109">
        <f>SUM(I44)</f>
        <v>253867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126034</v>
      </c>
      <c r="H612" s="109">
        <f>F466</f>
        <v>126033.99999999953</v>
      </c>
      <c r="I612" s="121" t="s">
        <v>106</v>
      </c>
      <c r="J612" s="109">
        <f t="shared" ref="J612:J645" si="49">G612-H612</f>
        <v>4.6566128730773926E-10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253867</v>
      </c>
      <c r="H615" s="109">
        <f>I466</f>
        <v>253867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2423396.4699999997</v>
      </c>
      <c r="H617" s="104">
        <f>SUM(F458)</f>
        <v>2423396.4699999997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73586.149999999994</v>
      </c>
      <c r="H618" s="104">
        <f>SUM(G458)</f>
        <v>73586.149999999994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5404244.5499999998</v>
      </c>
      <c r="H620" s="104">
        <f>SUM(I458)</f>
        <v>5404244.5499999998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2297362.4700000002</v>
      </c>
      <c r="H622" s="104">
        <f>SUM(F462)</f>
        <v>2297362.4700000002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21393</v>
      </c>
      <c r="H624" s="104">
        <f>I361</f>
        <v>21393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73586.149999999994</v>
      </c>
      <c r="H625" s="104">
        <f>SUM(G462)</f>
        <v>73586.149999999994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5150377.55</v>
      </c>
      <c r="H626" s="104">
        <f>SUM(I462)</f>
        <v>5150377.55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131374</v>
      </c>
      <c r="H637" s="104">
        <f>L200+L218+L236</f>
        <v>131374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24107</v>
      </c>
      <c r="H638" s="104">
        <f>(J249+J330)-(J247+J328)</f>
        <v>24107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92450</v>
      </c>
      <c r="H639" s="104">
        <f>H588</f>
        <v>92450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19771</v>
      </c>
      <c r="H640" s="104">
        <f>I588</f>
        <v>19771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19153</v>
      </c>
      <c r="H641" s="104">
        <f>J588</f>
        <v>19153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36763.15</v>
      </c>
      <c r="H642" s="104">
        <f>K255+K337</f>
        <v>36763.15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1362938.47</v>
      </c>
      <c r="G650" s="19">
        <f>(L221+L301+L351)</f>
        <v>385935</v>
      </c>
      <c r="H650" s="19">
        <f>(L239+L320+L352)</f>
        <v>585312</v>
      </c>
      <c r="I650" s="19">
        <f>SUM(F650:H650)</f>
        <v>2334185.4699999997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24089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24089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92450</v>
      </c>
      <c r="G652" s="19">
        <f>(L218+L298)-(J218+J298)</f>
        <v>19771</v>
      </c>
      <c r="H652" s="19">
        <f>(L236+L317)-(J236+J317)</f>
        <v>19153</v>
      </c>
      <c r="I652" s="19">
        <f>SUM(F652:H652)</f>
        <v>131374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34791.279999999999</v>
      </c>
      <c r="G653" s="200">
        <f>SUM(G565:G577)+SUM(I592:I594)+L602</f>
        <v>366164</v>
      </c>
      <c r="H653" s="200">
        <f>SUM(H565:H577)+SUM(J592:J594)+L603</f>
        <v>566159</v>
      </c>
      <c r="I653" s="19">
        <f>SUM(F653:H653)</f>
        <v>967114.28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1211608.19</v>
      </c>
      <c r="G654" s="19">
        <f>G650-SUM(G651:G653)</f>
        <v>0</v>
      </c>
      <c r="H654" s="19">
        <f>H650-SUM(H651:H653)</f>
        <v>0</v>
      </c>
      <c r="I654" s="19">
        <f>I650-SUM(I651:I653)</f>
        <v>1211608.1899999997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92.75</v>
      </c>
      <c r="G655" s="249"/>
      <c r="H655" s="249"/>
      <c r="I655" s="19">
        <f>SUM(F655:H655)</f>
        <v>92.75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13063.16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13063.16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13063.16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13063.16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C37B-DD6F-468F-9FAF-7CD8B1233D38}">
  <sheetPr>
    <tabColor indexed="20"/>
  </sheetPr>
  <dimension ref="A1:C52"/>
  <sheetViews>
    <sheetView topLeftCell="A16"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Mason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353763</v>
      </c>
      <c r="C9" s="230">
        <f>'DOE25'!G189+'DOE25'!G207+'DOE25'!G225+'DOE25'!G268+'DOE25'!G287+'DOE25'!G306</f>
        <v>165154</v>
      </c>
    </row>
    <row r="10" spans="1:3" x14ac:dyDescent="0.2">
      <c r="A10" t="s">
        <v>813</v>
      </c>
      <c r="B10" s="241">
        <v>305498</v>
      </c>
      <c r="C10" s="241">
        <v>162885</v>
      </c>
    </row>
    <row r="11" spans="1:3" x14ac:dyDescent="0.2">
      <c r="A11" t="s">
        <v>814</v>
      </c>
      <c r="B11" s="241">
        <f>353763-305498</f>
        <v>48265</v>
      </c>
      <c r="C11" s="241">
        <v>2269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353763</v>
      </c>
      <c r="C13" s="232">
        <f>SUM(C10:C12)</f>
        <v>165154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93758</v>
      </c>
      <c r="C18" s="230">
        <f>'DOE25'!G190+'DOE25'!G208+'DOE25'!G226+'DOE25'!G269+'DOE25'!G288+'DOE25'!G307</f>
        <v>7924</v>
      </c>
    </row>
    <row r="19" spans="1:3" x14ac:dyDescent="0.2">
      <c r="A19" t="s">
        <v>813</v>
      </c>
      <c r="B19" s="241">
        <v>58535</v>
      </c>
      <c r="C19" s="241">
        <v>5229</v>
      </c>
    </row>
    <row r="20" spans="1:3" x14ac:dyDescent="0.2">
      <c r="A20" t="s">
        <v>814</v>
      </c>
      <c r="B20" s="241">
        <v>35223</v>
      </c>
      <c r="C20" s="241">
        <v>2695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93758</v>
      </c>
      <c r="C22" s="232">
        <f>SUM(C19:C21)</f>
        <v>7924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4DD3-6372-43DE-B3CE-F2C50838261B}">
  <sheetPr>
    <tabColor indexed="11"/>
  </sheetPr>
  <dimension ref="A1:I51"/>
  <sheetViews>
    <sheetView workbookViewId="0">
      <pane ySplit="4" topLeftCell="A15" activePane="bottomLeft" state="frozen"/>
      <selection pane="bottomLeft" activeCell="D36" sqref="D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Mason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1614073.32</v>
      </c>
      <c r="D5" s="20">
        <f>SUM('DOE25'!L189:L192)+SUM('DOE25'!L207:L210)+SUM('DOE25'!L225:L228)-F5-G5</f>
        <v>1588671.32</v>
      </c>
      <c r="E5" s="244"/>
      <c r="F5" s="256">
        <f>SUM('DOE25'!J189:J192)+SUM('DOE25'!J207:J210)+SUM('DOE25'!J225:J228)</f>
        <v>22383</v>
      </c>
      <c r="G5" s="53">
        <f>SUM('DOE25'!K189:K192)+SUM('DOE25'!K207:K210)+SUM('DOE25'!K225:K228)</f>
        <v>3019</v>
      </c>
      <c r="H5" s="260"/>
    </row>
    <row r="6" spans="1:9" x14ac:dyDescent="0.2">
      <c r="A6" s="32">
        <v>2100</v>
      </c>
      <c r="B6" t="s">
        <v>835</v>
      </c>
      <c r="C6" s="246">
        <f t="shared" si="0"/>
        <v>59954</v>
      </c>
      <c r="D6" s="20">
        <f>'DOE25'!L194+'DOE25'!L212+'DOE25'!L230-F6-G6</f>
        <v>59720</v>
      </c>
      <c r="E6" s="244"/>
      <c r="F6" s="256">
        <f>'DOE25'!J194+'DOE25'!J212+'DOE25'!J230</f>
        <v>0</v>
      </c>
      <c r="G6" s="53">
        <f>'DOE25'!K194+'DOE25'!K212+'DOE25'!K230</f>
        <v>234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16987</v>
      </c>
      <c r="D8" s="244"/>
      <c r="E8" s="20">
        <f>'DOE25'!L196+'DOE25'!L214+'DOE25'!L232-F8-G8-D9-D11</f>
        <v>16687</v>
      </c>
      <c r="F8" s="256">
        <f>'DOE25'!J196+'DOE25'!J214+'DOE25'!J232</f>
        <v>0</v>
      </c>
      <c r="G8" s="53">
        <f>'DOE25'!K196+'DOE25'!K214+'DOE25'!K232</f>
        <v>300</v>
      </c>
      <c r="H8" s="260"/>
    </row>
    <row r="9" spans="1:9" x14ac:dyDescent="0.2">
      <c r="A9" s="32">
        <v>2310</v>
      </c>
      <c r="B9" t="s">
        <v>852</v>
      </c>
      <c r="C9" s="246">
        <f t="shared" si="0"/>
        <v>41514</v>
      </c>
      <c r="D9" s="245">
        <v>41514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6000</v>
      </c>
      <c r="D10" s="244"/>
      <c r="E10" s="245">
        <v>6000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119423</v>
      </c>
      <c r="D11" s="245">
        <v>119423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153302</v>
      </c>
      <c r="D12" s="20">
        <f>'DOE25'!L197+'DOE25'!L215+'DOE25'!L233-F12-G12</f>
        <v>152700</v>
      </c>
      <c r="E12" s="244"/>
      <c r="F12" s="256">
        <f>'DOE25'!J197+'DOE25'!J215+'DOE25'!J233</f>
        <v>0</v>
      </c>
      <c r="G12" s="53">
        <f>'DOE25'!K197+'DOE25'!K215+'DOE25'!K233</f>
        <v>602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52280</v>
      </c>
      <c r="D13" s="244"/>
      <c r="E13" s="20">
        <f>'DOE25'!L198+'DOE25'!L216+'DOE25'!L234-F13-G13</f>
        <v>52280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70212</v>
      </c>
      <c r="D14" s="20">
        <f>'DOE25'!L199+'DOE25'!L217+'DOE25'!L235-F14-G14</f>
        <v>68608</v>
      </c>
      <c r="E14" s="244"/>
      <c r="F14" s="256">
        <f>'DOE25'!J199+'DOE25'!J217+'DOE25'!J235</f>
        <v>1604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131374</v>
      </c>
      <c r="D15" s="20">
        <f>'DOE25'!L200+'DOE25'!L218+'DOE25'!L236-F15-G15</f>
        <v>131374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1480</v>
      </c>
      <c r="D16" s="244"/>
      <c r="E16" s="20">
        <f>'DOE25'!L201+'DOE25'!L219+'DOE25'!L237-F16-G16</f>
        <v>1360</v>
      </c>
      <c r="F16" s="256">
        <f>'DOE25'!J201+'DOE25'!J219+'DOE25'!J237</f>
        <v>120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53834.149999999994</v>
      </c>
      <c r="D29" s="20">
        <f>'DOE25'!L350+'DOE25'!L351+'DOE25'!L352-'DOE25'!I359-F29-G29</f>
        <v>53834.149999999994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2215844.4700000002</v>
      </c>
      <c r="E33" s="247">
        <f>SUM(E5:E31)</f>
        <v>76327</v>
      </c>
      <c r="F33" s="247">
        <f>SUM(F5:F31)</f>
        <v>24107</v>
      </c>
      <c r="G33" s="247">
        <f>SUM(G5:G31)</f>
        <v>4155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76327</v>
      </c>
      <c r="E35" s="250"/>
    </row>
    <row r="36" spans="2:8" ht="12" thickTop="1" x14ac:dyDescent="0.2">
      <c r="B36" t="s">
        <v>849</v>
      </c>
      <c r="D36" s="20">
        <f>D33</f>
        <v>2215844.4700000002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B39A-DAFB-40B4-9080-2F07D3A8C08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8" sqref="A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158501</v>
      </c>
      <c r="D9" s="95">
        <f>'DOE25'!G9</f>
        <v>0</v>
      </c>
      <c r="E9" s="95">
        <f>'DOE25'!H9</f>
        <v>0</v>
      </c>
      <c r="F9" s="95">
        <f>'DOE25'!I9</f>
        <v>199792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18837</v>
      </c>
      <c r="D13" s="95">
        <f>'DOE25'!G13</f>
        <v>679</v>
      </c>
      <c r="E13" s="95">
        <f>'DOE25'!H13</f>
        <v>0</v>
      </c>
      <c r="F13" s="95">
        <f>'DOE25'!I13</f>
        <v>54075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9012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186350</v>
      </c>
      <c r="D19" s="41">
        <f>SUM(D9:D18)</f>
        <v>679</v>
      </c>
      <c r="E19" s="41">
        <f>SUM(E9:E18)</f>
        <v>0</v>
      </c>
      <c r="F19" s="41">
        <f>SUM(F9:F18)</f>
        <v>253867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679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23573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36743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60316</v>
      </c>
      <c r="D32" s="41">
        <f>SUM(D22:D31)</f>
        <v>679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58463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253867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67571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126034</v>
      </c>
      <c r="D42" s="41">
        <f>SUM(D34:D41)</f>
        <v>0</v>
      </c>
      <c r="E42" s="41">
        <f>SUM(E34:E41)</f>
        <v>0</v>
      </c>
      <c r="F42" s="41">
        <f>SUM(F34:F41)</f>
        <v>253867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186350</v>
      </c>
      <c r="D43" s="41">
        <f>D42+D32</f>
        <v>679</v>
      </c>
      <c r="E43" s="41">
        <f>E42+E32</f>
        <v>0</v>
      </c>
      <c r="F43" s="41">
        <f>F42+F32</f>
        <v>253867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1717997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9525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956.47</v>
      </c>
      <c r="D51" s="95">
        <f>'DOE25'!G88</f>
        <v>0</v>
      </c>
      <c r="E51" s="95">
        <f>'DOE25'!H88</f>
        <v>0</v>
      </c>
      <c r="F51" s="95">
        <f>'DOE25'!I88</f>
        <v>10461.549999999999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24089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948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11429.47</v>
      </c>
      <c r="D54" s="130">
        <f>SUM(D49:D53)</f>
        <v>24089</v>
      </c>
      <c r="E54" s="130">
        <f>SUM(E49:E53)</f>
        <v>0</v>
      </c>
      <c r="F54" s="130">
        <f>SUM(F49:F53)</f>
        <v>10461.549999999999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1729426.47</v>
      </c>
      <c r="D55" s="22">
        <f>D48+D54</f>
        <v>24089</v>
      </c>
      <c r="E55" s="22">
        <f>E48+E54</f>
        <v>0</v>
      </c>
      <c r="F55" s="22">
        <f>F48+F54</f>
        <v>10461.549999999999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208037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357032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79818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644887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274581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22425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4328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22425</v>
      </c>
      <c r="D70" s="130">
        <f>SUM(D64:D69)</f>
        <v>4328</v>
      </c>
      <c r="E70" s="130">
        <f>SUM(E64:E69)</f>
        <v>0</v>
      </c>
      <c r="F70" s="130">
        <f>SUM(F64:F69)</f>
        <v>274581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667312</v>
      </c>
      <c r="D73" s="130">
        <f>SUM(D71:D72)+D70+D62</f>
        <v>4328</v>
      </c>
      <c r="E73" s="130">
        <f>SUM(E71:E72)+E70+E62</f>
        <v>0</v>
      </c>
      <c r="F73" s="130">
        <f>SUM(F71:F72)+F70+F62</f>
        <v>274581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26658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8406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26658</v>
      </c>
      <c r="D83" s="131">
        <f>SUM(D77:D82)</f>
        <v>8406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5119202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36763.15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36763.15</v>
      </c>
      <c r="E95" s="86">
        <f>SUM(E85:E94)</f>
        <v>0</v>
      </c>
      <c r="F95" s="86">
        <f>SUM(F85:F94)</f>
        <v>5119202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2423396.4699999997</v>
      </c>
      <c r="D96" s="86">
        <f>D55+D73+D83+D95</f>
        <v>73586.149999999994</v>
      </c>
      <c r="E96" s="86">
        <f>E55+E73+E83+E95</f>
        <v>0</v>
      </c>
      <c r="F96" s="86">
        <f>F55+F73+F83+F95</f>
        <v>5404244.5499999998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1321575.32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292498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1614073.32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59954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177924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153302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52280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70212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131374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1480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73586.149999999994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646526</v>
      </c>
      <c r="D120" s="86">
        <f>SUM(D110:D119)</f>
        <v>73586.149999999994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5150377.55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36763.15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36763.15</v>
      </c>
      <c r="D136" s="141">
        <f>SUM(D122:D135)</f>
        <v>0</v>
      </c>
      <c r="E136" s="141">
        <f>SUM(E122:E135)</f>
        <v>0</v>
      </c>
      <c r="F136" s="141">
        <f>SUM(F122:F135)</f>
        <v>5150377.55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2297362.4700000002</v>
      </c>
      <c r="D137" s="86">
        <f>(D107+D120+D136)</f>
        <v>73586.149999999994</v>
      </c>
      <c r="E137" s="86">
        <f>(E107+E120+E136)</f>
        <v>0</v>
      </c>
      <c r="F137" s="86">
        <f>(F107+F120+F136)</f>
        <v>5150377.55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08/29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4975910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3.97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4975910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4975910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4975910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4975910</v>
      </c>
    </row>
    <row r="152" spans="1:7" x14ac:dyDescent="0.2">
      <c r="A152" s="22" t="s">
        <v>36</v>
      </c>
      <c r="B152" s="137">
        <f>'DOE25'!F489</f>
        <v>2273858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2273858</v>
      </c>
    </row>
    <row r="153" spans="1:7" x14ac:dyDescent="0.2">
      <c r="A153" s="22" t="s">
        <v>37</v>
      </c>
      <c r="B153" s="137">
        <f>'DOE25'!F490</f>
        <v>7249768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7249768</v>
      </c>
    </row>
    <row r="154" spans="1:7" x14ac:dyDescent="0.2">
      <c r="A154" s="22" t="s">
        <v>38</v>
      </c>
      <c r="B154" s="137">
        <f>'DOE25'!F491</f>
        <v>245910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245910</v>
      </c>
    </row>
    <row r="155" spans="1:7" x14ac:dyDescent="0.2">
      <c r="A155" s="22" t="s">
        <v>39</v>
      </c>
      <c r="B155" s="137">
        <f>'DOE25'!F492</f>
        <v>196303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196303</v>
      </c>
    </row>
    <row r="156" spans="1:7" x14ac:dyDescent="0.2">
      <c r="A156" s="22" t="s">
        <v>269</v>
      </c>
      <c r="B156" s="137">
        <f>'DOE25'!F493</f>
        <v>442213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442213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8087-6AB6-4811-8C83-8BC6531747CF}">
  <sheetPr codeName="Sheet3">
    <tabColor indexed="43"/>
  </sheetPr>
  <dimension ref="A1:D42"/>
  <sheetViews>
    <sheetView topLeftCell="A16" workbookViewId="0">
      <selection activeCell="C42" sqref="C4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Mason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13063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13063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1321575</v>
      </c>
      <c r="D10" s="182">
        <f>ROUND((C10/$C$28)*100,1)</f>
        <v>57.2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292498</v>
      </c>
      <c r="D11" s="182">
        <f>ROUND((C11/$C$28)*100,1)</f>
        <v>12.7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59954</v>
      </c>
      <c r="D15" s="182">
        <f t="shared" ref="D15:D27" si="0">ROUND((C15/$C$28)*100,1)</f>
        <v>2.6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179404</v>
      </c>
      <c r="D17" s="182">
        <f t="shared" si="0"/>
        <v>7.8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153302</v>
      </c>
      <c r="D18" s="182">
        <f t="shared" si="0"/>
        <v>6.6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52280</v>
      </c>
      <c r="D19" s="182">
        <f t="shared" si="0"/>
        <v>2.2999999999999998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70212</v>
      </c>
      <c r="D20" s="182">
        <f t="shared" si="0"/>
        <v>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131374</v>
      </c>
      <c r="D21" s="182">
        <f t="shared" si="0"/>
        <v>5.7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49497</v>
      </c>
      <c r="D27" s="182">
        <f t="shared" si="0"/>
        <v>2.1</v>
      </c>
    </row>
    <row r="28" spans="1:4" x14ac:dyDescent="0.2">
      <c r="B28" s="187" t="s">
        <v>754</v>
      </c>
      <c r="C28" s="180">
        <f>SUM(C10:C27)</f>
        <v>2310096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5150378</v>
      </c>
    </row>
    <row r="30" spans="1:4" x14ac:dyDescent="0.2">
      <c r="B30" s="187" t="s">
        <v>760</v>
      </c>
      <c r="C30" s="180">
        <f>SUM(C28:C29)</f>
        <v>7460474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1717997</v>
      </c>
      <c r="D35" s="182">
        <f t="shared" ref="D35:D40" si="1">ROUND((C35/$C$41)*100,1)</f>
        <v>60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165183.02000000002</v>
      </c>
      <c r="D36" s="182">
        <f t="shared" si="1"/>
        <v>5.8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565069</v>
      </c>
      <c r="D37" s="182">
        <f t="shared" si="1"/>
        <v>19.7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381152</v>
      </c>
      <c r="D38" s="182">
        <f t="shared" si="1"/>
        <v>13.3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35064</v>
      </c>
      <c r="D39" s="182">
        <f t="shared" si="1"/>
        <v>1.2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2864465.02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4975910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A863-C6E5-4FF2-9AB7-AC8105F4273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Mason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2010-10-14T17:16:19Z</cp:lastPrinted>
  <dcterms:created xsi:type="dcterms:W3CDTF">1997-12-04T19:04:30Z</dcterms:created>
  <dcterms:modified xsi:type="dcterms:W3CDTF">2025-01-09T20:11:19Z</dcterms:modified>
</cp:coreProperties>
</file>