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C35C3F5-1E7A-400A-9A43-EA358991BE06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BE8405C7-DF17-45E9-9109-AA5C7374EB1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2" l="1"/>
  <c r="F516" i="1"/>
  <c r="J458" i="1"/>
  <c r="J460" i="1" s="1"/>
  <c r="J466" i="1" s="1"/>
  <c r="H616" i="1" s="1"/>
  <c r="I313" i="1"/>
  <c r="L313" i="1" s="1"/>
  <c r="E112" i="2" s="1"/>
  <c r="H312" i="1"/>
  <c r="H311" i="1"/>
  <c r="H320" i="1" s="1"/>
  <c r="I293" i="1"/>
  <c r="H293" i="1"/>
  <c r="I274" i="1"/>
  <c r="H274" i="1"/>
  <c r="H273" i="1"/>
  <c r="L273" i="1" s="1"/>
  <c r="F269" i="1"/>
  <c r="B18" i="12" s="1"/>
  <c r="A22" i="12" s="1"/>
  <c r="H236" i="1"/>
  <c r="H218" i="1"/>
  <c r="F88" i="1"/>
  <c r="C51" i="2" s="1"/>
  <c r="F56" i="1"/>
  <c r="F29" i="1"/>
  <c r="C60" i="2"/>
  <c r="B2" i="13"/>
  <c r="F8" i="13"/>
  <c r="G8" i="13"/>
  <c r="L196" i="1"/>
  <c r="L214" i="1"/>
  <c r="E8" i="13" s="1"/>
  <c r="L232" i="1"/>
  <c r="C112" i="2" s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203" i="1" s="1"/>
  <c r="L190" i="1"/>
  <c r="L191" i="1"/>
  <c r="L192" i="1"/>
  <c r="L207" i="1"/>
  <c r="C101" i="2" s="1"/>
  <c r="L208" i="1"/>
  <c r="L221" i="1" s="1"/>
  <c r="L209" i="1"/>
  <c r="L210" i="1"/>
  <c r="L225" i="1"/>
  <c r="L226" i="1"/>
  <c r="L227" i="1"/>
  <c r="C12" i="10" s="1"/>
  <c r="L228" i="1"/>
  <c r="C104" i="2" s="1"/>
  <c r="F6" i="13"/>
  <c r="G6" i="13"/>
  <c r="L194" i="1"/>
  <c r="L212" i="1"/>
  <c r="D6" i="13" s="1"/>
  <c r="C6" i="13" s="1"/>
  <c r="L230" i="1"/>
  <c r="L239" i="1" s="1"/>
  <c r="F7" i="13"/>
  <c r="G7" i="13"/>
  <c r="L195" i="1"/>
  <c r="C16" i="10" s="1"/>
  <c r="L213" i="1"/>
  <c r="L231" i="1"/>
  <c r="F12" i="13"/>
  <c r="G12" i="13"/>
  <c r="L197" i="1"/>
  <c r="L215" i="1"/>
  <c r="D12" i="13" s="1"/>
  <c r="C12" i="13" s="1"/>
  <c r="L233" i="1"/>
  <c r="C18" i="10" s="1"/>
  <c r="F14" i="13"/>
  <c r="G14" i="13"/>
  <c r="L199" i="1"/>
  <c r="D14" i="13" s="1"/>
  <c r="C14" i="13" s="1"/>
  <c r="L217" i="1"/>
  <c r="L235" i="1"/>
  <c r="F15" i="13"/>
  <c r="G15" i="13"/>
  <c r="L200" i="1"/>
  <c r="L218" i="1"/>
  <c r="D15" i="13" s="1"/>
  <c r="C15" i="13" s="1"/>
  <c r="L236" i="1"/>
  <c r="H652" i="1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H651" i="1" s="1"/>
  <c r="I359" i="1"/>
  <c r="J282" i="1"/>
  <c r="J301" i="1"/>
  <c r="J320" i="1"/>
  <c r="F31" i="13"/>
  <c r="K282" i="1"/>
  <c r="K301" i="1"/>
  <c r="K320" i="1"/>
  <c r="G31" i="13"/>
  <c r="L268" i="1"/>
  <c r="L270" i="1"/>
  <c r="L271" i="1"/>
  <c r="L274" i="1"/>
  <c r="L275" i="1"/>
  <c r="L276" i="1"/>
  <c r="E113" i="2" s="1"/>
  <c r="L277" i="1"/>
  <c r="L278" i="1"/>
  <c r="L279" i="1"/>
  <c r="F652" i="1" s="1"/>
  <c r="L280" i="1"/>
  <c r="E117" i="2" s="1"/>
  <c r="L287" i="1"/>
  <c r="L288" i="1"/>
  <c r="L289" i="1"/>
  <c r="L290" i="1"/>
  <c r="L292" i="1"/>
  <c r="L293" i="1"/>
  <c r="E111" i="2" s="1"/>
  <c r="L294" i="1"/>
  <c r="L301" i="1" s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43" i="1" s="1"/>
  <c r="L334" i="1"/>
  <c r="E124" i="2" s="1"/>
  <c r="L247" i="1"/>
  <c r="L328" i="1"/>
  <c r="F22" i="13"/>
  <c r="F33" i="13"/>
  <c r="C22" i="13"/>
  <c r="C11" i="13"/>
  <c r="C10" i="13"/>
  <c r="C9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 s="1"/>
  <c r="F2" i="11"/>
  <c r="L603" i="1"/>
  <c r="H653" i="1"/>
  <c r="L602" i="1"/>
  <c r="G653" i="1" s="1"/>
  <c r="L601" i="1"/>
  <c r="F653" i="1" s="1"/>
  <c r="I653" i="1" s="1"/>
  <c r="C40" i="10"/>
  <c r="F52" i="1"/>
  <c r="G52" i="1"/>
  <c r="C35" i="10" s="1"/>
  <c r="H52" i="1"/>
  <c r="E48" i="2" s="1"/>
  <c r="E55" i="2" s="1"/>
  <c r="I52" i="1"/>
  <c r="I104" i="1" s="1"/>
  <c r="F71" i="1"/>
  <c r="C49" i="2" s="1"/>
  <c r="F86" i="1"/>
  <c r="F104" i="1" s="1"/>
  <c r="F103" i="1"/>
  <c r="G103" i="1"/>
  <c r="H71" i="1"/>
  <c r="H86" i="1"/>
  <c r="H103" i="1"/>
  <c r="H104" i="1"/>
  <c r="I103" i="1"/>
  <c r="J103" i="1"/>
  <c r="J104" i="1"/>
  <c r="C37" i="10"/>
  <c r="F113" i="1"/>
  <c r="F132" i="1" s="1"/>
  <c r="C38" i="10" s="1"/>
  <c r="F128" i="1"/>
  <c r="G113" i="1"/>
  <c r="G128" i="1"/>
  <c r="G132" i="1"/>
  <c r="H113" i="1"/>
  <c r="H128" i="1"/>
  <c r="H132" i="1"/>
  <c r="I113" i="1"/>
  <c r="I128" i="1"/>
  <c r="I132" i="1" s="1"/>
  <c r="J113" i="1"/>
  <c r="J132" i="1" s="1"/>
  <c r="J128" i="1"/>
  <c r="F139" i="1"/>
  <c r="F161" i="1" s="1"/>
  <c r="F154" i="1"/>
  <c r="G139" i="1"/>
  <c r="G154" i="1"/>
  <c r="G161" i="1"/>
  <c r="H139" i="1"/>
  <c r="E77" i="2" s="1"/>
  <c r="E83" i="2" s="1"/>
  <c r="H154" i="1"/>
  <c r="I139" i="1"/>
  <c r="I154" i="1"/>
  <c r="I161" i="1" s="1"/>
  <c r="C19" i="10"/>
  <c r="C20" i="10"/>
  <c r="L242" i="1"/>
  <c r="C23" i="10" s="1"/>
  <c r="L324" i="1"/>
  <c r="L246" i="1"/>
  <c r="C25" i="10"/>
  <c r="L260" i="1"/>
  <c r="L261" i="1"/>
  <c r="L341" i="1"/>
  <c r="E134" i="2" s="1"/>
  <c r="L342" i="1"/>
  <c r="C26" i="10"/>
  <c r="I655" i="1"/>
  <c r="I660" i="1"/>
  <c r="I659" i="1"/>
  <c r="C42" i="10"/>
  <c r="L366" i="1"/>
  <c r="F122" i="2" s="1"/>
  <c r="F136" i="2" s="1"/>
  <c r="L367" i="1"/>
  <c r="C29" i="10" s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 s="1"/>
  <c r="L513" i="1"/>
  <c r="L514" i="1" s="1"/>
  <c r="F541" i="1"/>
  <c r="L516" i="1"/>
  <c r="G539" i="1"/>
  <c r="G542" i="1" s="1"/>
  <c r="L517" i="1"/>
  <c r="L519" i="1" s="1"/>
  <c r="G540" i="1"/>
  <c r="L518" i="1"/>
  <c r="G541" i="1" s="1"/>
  <c r="L521" i="1"/>
  <c r="H539" i="1" s="1"/>
  <c r="H542" i="1" s="1"/>
  <c r="L522" i="1"/>
  <c r="L524" i="1" s="1"/>
  <c r="H540" i="1"/>
  <c r="L523" i="1"/>
  <c r="H541" i="1" s="1"/>
  <c r="L526" i="1"/>
  <c r="I539" i="1"/>
  <c r="L527" i="1"/>
  <c r="I540" i="1" s="1"/>
  <c r="L528" i="1"/>
  <c r="I541" i="1"/>
  <c r="L531" i="1"/>
  <c r="J539" i="1"/>
  <c r="J542" i="1" s="1"/>
  <c r="L532" i="1"/>
  <c r="J540" i="1" s="1"/>
  <c r="L533" i="1"/>
  <c r="J541" i="1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E19" i="2" s="1"/>
  <c r="F9" i="2"/>
  <c r="F19" i="2" s="1"/>
  <c r="I431" i="1"/>
  <c r="J9" i="1"/>
  <c r="G9" i="2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D19" i="2" s="1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F23" i="2"/>
  <c r="I441" i="1"/>
  <c r="J24" i="1" s="1"/>
  <c r="C24" i="2"/>
  <c r="D24" i="2"/>
  <c r="E24" i="2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E32" i="2"/>
  <c r="C34" i="2"/>
  <c r="C42" i="2" s="1"/>
  <c r="D34" i="2"/>
  <c r="D42" i="2" s="1"/>
  <c r="E34" i="2"/>
  <c r="E42" i="2" s="1"/>
  <c r="E43" i="2" s="1"/>
  <c r="F34" i="2"/>
  <c r="F42" i="2" s="1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F48" i="2"/>
  <c r="E49" i="2"/>
  <c r="E50" i="2"/>
  <c r="D51" i="2"/>
  <c r="E51" i="2"/>
  <c r="F51" i="2"/>
  <c r="F54" i="2" s="1"/>
  <c r="F55" i="2" s="1"/>
  <c r="F96" i="2" s="1"/>
  <c r="D52" i="2"/>
  <c r="D54" i="2" s="1"/>
  <c r="C53" i="2"/>
  <c r="D53" i="2"/>
  <c r="E53" i="2"/>
  <c r="F53" i="2"/>
  <c r="E54" i="2"/>
  <c r="C58" i="2"/>
  <c r="C62" i="2" s="1"/>
  <c r="C59" i="2"/>
  <c r="C61" i="2"/>
  <c r="D61" i="2"/>
  <c r="D62" i="2" s="1"/>
  <c r="E61" i="2"/>
  <c r="F61" i="2"/>
  <c r="G61" i="2"/>
  <c r="G62" i="2" s="1"/>
  <c r="E62" i="2"/>
  <c r="F62" i="2"/>
  <c r="C64" i="2"/>
  <c r="C70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E69" i="2"/>
  <c r="F69" i="2"/>
  <c r="F70" i="2" s="1"/>
  <c r="F73" i="2" s="1"/>
  <c r="G69" i="2"/>
  <c r="G70" i="2"/>
  <c r="C71" i="2"/>
  <c r="D71" i="2"/>
  <c r="E71" i="2"/>
  <c r="C72" i="2"/>
  <c r="E72" i="2"/>
  <c r="C77" i="2"/>
  <c r="D77" i="2"/>
  <c r="D83" i="2" s="1"/>
  <c r="F77" i="2"/>
  <c r="C79" i="2"/>
  <c r="C83" i="2" s="1"/>
  <c r="E79" i="2"/>
  <c r="F79" i="2"/>
  <c r="F83" i="2" s="1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E95" i="2" s="1"/>
  <c r="F88" i="2"/>
  <c r="G88" i="2"/>
  <c r="C89" i="2"/>
  <c r="D89" i="2"/>
  <c r="E89" i="2"/>
  <c r="F89" i="2"/>
  <c r="F95" i="2" s="1"/>
  <c r="G89" i="2"/>
  <c r="G95" i="2" s="1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1" i="2"/>
  <c r="C102" i="2"/>
  <c r="C103" i="2"/>
  <c r="E103" i="2"/>
  <c r="E104" i="2"/>
  <c r="E105" i="2"/>
  <c r="C106" i="2"/>
  <c r="E106" i="2"/>
  <c r="D107" i="2"/>
  <c r="D137" i="2" s="1"/>
  <c r="F107" i="2"/>
  <c r="F137" i="2" s="1"/>
  <c r="G107" i="2"/>
  <c r="G137" i="2" s="1"/>
  <c r="C114" i="2"/>
  <c r="E114" i="2"/>
  <c r="C115" i="2"/>
  <c r="E115" i="2"/>
  <c r="D119" i="2"/>
  <c r="D120" i="2" s="1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 s="1"/>
  <c r="I490" i="1"/>
  <c r="E153" i="2"/>
  <c r="J490" i="1"/>
  <c r="F153" i="2" s="1"/>
  <c r="B154" i="2"/>
  <c r="C154" i="2"/>
  <c r="D154" i="2"/>
  <c r="E154" i="2"/>
  <c r="G154" i="2" s="1"/>
  <c r="F154" i="2"/>
  <c r="B155" i="2"/>
  <c r="C155" i="2"/>
  <c r="G155" i="2" s="1"/>
  <c r="D155" i="2"/>
  <c r="E155" i="2"/>
  <c r="F155" i="2"/>
  <c r="F493" i="1"/>
  <c r="B156" i="2"/>
  <c r="G493" i="1"/>
  <c r="C156" i="2"/>
  <c r="H493" i="1"/>
  <c r="D156" i="2" s="1"/>
  <c r="G156" i="2" s="1"/>
  <c r="I493" i="1"/>
  <c r="E156" i="2"/>
  <c r="J493" i="1"/>
  <c r="F156" i="2"/>
  <c r="F19" i="1"/>
  <c r="G607" i="1" s="1"/>
  <c r="G19" i="1"/>
  <c r="H19" i="1"/>
  <c r="I19" i="1"/>
  <c r="F33" i="1"/>
  <c r="G33" i="1"/>
  <c r="H33" i="1"/>
  <c r="I33" i="1"/>
  <c r="I44" i="1" s="1"/>
  <c r="H610" i="1" s="1"/>
  <c r="F43" i="1"/>
  <c r="G612" i="1" s="1"/>
  <c r="G43" i="1"/>
  <c r="G44" i="1" s="1"/>
  <c r="H608" i="1" s="1"/>
  <c r="J608" i="1" s="1"/>
  <c r="H43" i="1"/>
  <c r="I43" i="1"/>
  <c r="H44" i="1"/>
  <c r="F169" i="1"/>
  <c r="F184" i="1" s="1"/>
  <c r="I169" i="1"/>
  <c r="F175" i="1"/>
  <c r="G175" i="1"/>
  <c r="G184" i="1" s="1"/>
  <c r="H175" i="1"/>
  <c r="I175" i="1"/>
  <c r="J175" i="1"/>
  <c r="F180" i="1"/>
  <c r="G180" i="1"/>
  <c r="H180" i="1"/>
  <c r="I180" i="1"/>
  <c r="H184" i="1"/>
  <c r="I184" i="1"/>
  <c r="J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H249" i="1"/>
  <c r="H263" i="1" s="1"/>
  <c r="I249" i="1"/>
  <c r="J249" i="1"/>
  <c r="J263" i="1" s="1"/>
  <c r="I263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06" i="1"/>
  <c r="L407" i="1"/>
  <c r="L408" i="1"/>
  <c r="L409" i="1"/>
  <c r="L411" i="1" s="1"/>
  <c r="L426" i="1" s="1"/>
  <c r="G628" i="1" s="1"/>
  <c r="J628" i="1" s="1"/>
  <c r="L410" i="1"/>
  <c r="F411" i="1"/>
  <c r="G411" i="1"/>
  <c r="H411" i="1"/>
  <c r="I411" i="1"/>
  <c r="J411" i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H426" i="1" s="1"/>
  <c r="I425" i="1"/>
  <c r="J425" i="1"/>
  <c r="G426" i="1"/>
  <c r="I426" i="1"/>
  <c r="J426" i="1"/>
  <c r="F438" i="1"/>
  <c r="G629" i="1" s="1"/>
  <c r="J629" i="1" s="1"/>
  <c r="G438" i="1"/>
  <c r="G630" i="1" s="1"/>
  <c r="H438" i="1"/>
  <c r="G631" i="1" s="1"/>
  <c r="J631" i="1" s="1"/>
  <c r="F444" i="1"/>
  <c r="G444" i="1"/>
  <c r="H444" i="1"/>
  <c r="H451" i="1" s="1"/>
  <c r="H631" i="1" s="1"/>
  <c r="I444" i="1"/>
  <c r="F450" i="1"/>
  <c r="G450" i="1"/>
  <c r="H450" i="1"/>
  <c r="F451" i="1"/>
  <c r="G451" i="1"/>
  <c r="H630" i="1" s="1"/>
  <c r="F460" i="1"/>
  <c r="G460" i="1"/>
  <c r="H460" i="1"/>
  <c r="H466" i="1" s="1"/>
  <c r="H614" i="1" s="1"/>
  <c r="I460" i="1"/>
  <c r="I466" i="1" s="1"/>
  <c r="H615" i="1" s="1"/>
  <c r="J615" i="1" s="1"/>
  <c r="F464" i="1"/>
  <c r="G464" i="1"/>
  <c r="G466" i="1" s="1"/>
  <c r="H613" i="1" s="1"/>
  <c r="H464" i="1"/>
  <c r="I464" i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F535" i="1" s="1"/>
  <c r="G534" i="1"/>
  <c r="H534" i="1"/>
  <c r="I534" i="1"/>
  <c r="J534" i="1"/>
  <c r="K534" i="1"/>
  <c r="L534" i="1"/>
  <c r="K535" i="1"/>
  <c r="L547" i="1"/>
  <c r="L548" i="1"/>
  <c r="L549" i="1"/>
  <c r="F550" i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F561" i="1" s="1"/>
  <c r="G560" i="1"/>
  <c r="H560" i="1"/>
  <c r="I560" i="1"/>
  <c r="J560" i="1"/>
  <c r="K560" i="1"/>
  <c r="I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 s="1"/>
  <c r="J639" i="1" s="1"/>
  <c r="I588" i="1"/>
  <c r="H640" i="1" s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8" i="1"/>
  <c r="G609" i="1"/>
  <c r="J609" i="1" s="1"/>
  <c r="H609" i="1"/>
  <c r="G610" i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8" i="1"/>
  <c r="H629" i="1"/>
  <c r="G633" i="1"/>
  <c r="G634" i="1"/>
  <c r="J634" i="1" s="1"/>
  <c r="G635" i="1"/>
  <c r="H637" i="1"/>
  <c r="G639" i="1"/>
  <c r="G641" i="1"/>
  <c r="J641" i="1" s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130" i="2" l="1"/>
  <c r="L400" i="1"/>
  <c r="C15" i="10"/>
  <c r="E110" i="2"/>
  <c r="F43" i="2"/>
  <c r="J33" i="1"/>
  <c r="G23" i="2"/>
  <c r="G32" i="2" s="1"/>
  <c r="C133" i="2"/>
  <c r="J633" i="1"/>
  <c r="G42" i="2"/>
  <c r="K541" i="1"/>
  <c r="E33" i="13"/>
  <c r="D35" i="13" s="1"/>
  <c r="C8" i="13"/>
  <c r="I451" i="1"/>
  <c r="H632" i="1" s="1"/>
  <c r="G73" i="2"/>
  <c r="D55" i="2"/>
  <c r="J43" i="1"/>
  <c r="D43" i="2"/>
  <c r="G19" i="2"/>
  <c r="I542" i="1"/>
  <c r="L535" i="1"/>
  <c r="G650" i="1"/>
  <c r="C5" i="13"/>
  <c r="J607" i="1"/>
  <c r="C43" i="2"/>
  <c r="J19" i="1"/>
  <c r="G611" i="1" s="1"/>
  <c r="K540" i="1"/>
  <c r="H650" i="1"/>
  <c r="H654" i="1" s="1"/>
  <c r="J610" i="1"/>
  <c r="L561" i="1"/>
  <c r="C73" i="2"/>
  <c r="F542" i="1"/>
  <c r="K539" i="1"/>
  <c r="K542" i="1" s="1"/>
  <c r="F185" i="1"/>
  <c r="G617" i="1" s="1"/>
  <c r="J617" i="1" s="1"/>
  <c r="G96" i="2"/>
  <c r="G153" i="2"/>
  <c r="J638" i="1"/>
  <c r="D73" i="2"/>
  <c r="I185" i="1"/>
  <c r="G620" i="1" s="1"/>
  <c r="J620" i="1" s="1"/>
  <c r="J630" i="1"/>
  <c r="J612" i="1"/>
  <c r="J185" i="1"/>
  <c r="E96" i="2"/>
  <c r="C25" i="13"/>
  <c r="H33" i="13"/>
  <c r="L249" i="1"/>
  <c r="L263" i="1" s="1"/>
  <c r="G622" i="1" s="1"/>
  <c r="J622" i="1" s="1"/>
  <c r="C24" i="10"/>
  <c r="C13" i="10"/>
  <c r="F44" i="1"/>
  <c r="H607" i="1" s="1"/>
  <c r="C105" i="2"/>
  <c r="C107" i="2" s="1"/>
  <c r="C32" i="10"/>
  <c r="C50" i="2"/>
  <c r="C54" i="2" s="1"/>
  <c r="C55" i="2" s="1"/>
  <c r="C96" i="2" s="1"/>
  <c r="E123" i="2"/>
  <c r="E136" i="2" s="1"/>
  <c r="L604" i="1"/>
  <c r="C117" i="2"/>
  <c r="C111" i="2"/>
  <c r="F651" i="1"/>
  <c r="I651" i="1" s="1"/>
  <c r="C11" i="10"/>
  <c r="L354" i="1"/>
  <c r="H627" i="1"/>
  <c r="H638" i="1"/>
  <c r="K493" i="1"/>
  <c r="I438" i="1"/>
  <c r="G632" i="1" s="1"/>
  <c r="E116" i="2"/>
  <c r="C10" i="10"/>
  <c r="G104" i="1"/>
  <c r="G185" i="1" s="1"/>
  <c r="G618" i="1" s="1"/>
  <c r="J618" i="1" s="1"/>
  <c r="L374" i="1"/>
  <c r="G626" i="1" s="1"/>
  <c r="J626" i="1" s="1"/>
  <c r="C116" i="2"/>
  <c r="C110" i="2"/>
  <c r="C123" i="2"/>
  <c r="C136" i="2" s="1"/>
  <c r="H161" i="1"/>
  <c r="C39" i="10" s="1"/>
  <c r="D7" i="13"/>
  <c r="C7" i="13" s="1"/>
  <c r="C21" i="10"/>
  <c r="L269" i="1"/>
  <c r="I450" i="1"/>
  <c r="G652" i="1"/>
  <c r="I652" i="1" s="1"/>
  <c r="C17" i="10"/>
  <c r="G640" i="1"/>
  <c r="J640" i="1" s="1"/>
  <c r="C113" i="2"/>
  <c r="G625" i="1" l="1"/>
  <c r="J625" i="1" s="1"/>
  <c r="C27" i="10"/>
  <c r="G616" i="1"/>
  <c r="J44" i="1"/>
  <c r="H611" i="1" s="1"/>
  <c r="J611" i="1" s="1"/>
  <c r="D96" i="2"/>
  <c r="C120" i="2"/>
  <c r="C137" i="2" s="1"/>
  <c r="C36" i="10"/>
  <c r="H185" i="1"/>
  <c r="G619" i="1" s="1"/>
  <c r="J619" i="1" s="1"/>
  <c r="J632" i="1"/>
  <c r="G654" i="1"/>
  <c r="E120" i="2"/>
  <c r="L282" i="1"/>
  <c r="E102" i="2"/>
  <c r="E107" i="2" s="1"/>
  <c r="E137" i="2" s="1"/>
  <c r="G43" i="2"/>
  <c r="H636" i="1"/>
  <c r="G627" i="1"/>
  <c r="J627" i="1" s="1"/>
  <c r="G636" i="1"/>
  <c r="G621" i="1"/>
  <c r="J621" i="1" s="1"/>
  <c r="H657" i="1"/>
  <c r="H662" i="1"/>
  <c r="C6" i="10" s="1"/>
  <c r="L330" i="1" l="1"/>
  <c r="L344" i="1" s="1"/>
  <c r="G623" i="1" s="1"/>
  <c r="J623" i="1" s="1"/>
  <c r="D31" i="13"/>
  <c r="F650" i="1"/>
  <c r="J616" i="1"/>
  <c r="H646" i="1"/>
  <c r="G662" i="1"/>
  <c r="C5" i="10" s="1"/>
  <c r="G657" i="1"/>
  <c r="J636" i="1"/>
  <c r="C28" i="10"/>
  <c r="C41" i="10"/>
  <c r="D40" i="10" l="1"/>
  <c r="D38" i="10"/>
  <c r="D37" i="10"/>
  <c r="D35" i="10"/>
  <c r="D39" i="10"/>
  <c r="C30" i="10"/>
  <c r="D22" i="10"/>
  <c r="D25" i="10"/>
  <c r="D20" i="10"/>
  <c r="D19" i="10"/>
  <c r="D23" i="10"/>
  <c r="D12" i="10"/>
  <c r="D18" i="10"/>
  <c r="D16" i="10"/>
  <c r="D26" i="10"/>
  <c r="D21" i="10"/>
  <c r="D17" i="10"/>
  <c r="D10" i="10"/>
  <c r="D28" i="10" s="1"/>
  <c r="D13" i="10"/>
  <c r="D15" i="10"/>
  <c r="D11" i="10"/>
  <c r="D24" i="10"/>
  <c r="D27" i="10"/>
  <c r="C31" i="13"/>
  <c r="D33" i="13"/>
  <c r="D36" i="13" s="1"/>
  <c r="D36" i="10"/>
  <c r="F654" i="1"/>
  <c r="I650" i="1"/>
  <c r="I654" i="1" s="1"/>
  <c r="D41" i="10" l="1"/>
  <c r="F662" i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3AD3951-191C-4247-8776-281C574114E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EB1B3DD-15BF-4086-93EF-4085218EDE9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BFB7C4C-46E1-47BA-AD38-29B111BE9E5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A8E16C8-FF6B-475F-97DA-CED4594374E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0EFC19C-58F4-424B-BA13-FB69FF7D3A7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ABEF3E0-9120-43D5-B72C-C42D99BBF87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EE72ACB-9736-45F3-927B-1CA4B2C5570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27AB06B-6937-4A54-ABBD-56AC74EF90B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F55490A-8CF7-4891-9F96-E6F3C36532C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4848194-4C37-4FAB-8825-0452190527E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F0BCEEA-2B71-4B01-92C0-61732583841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980B134-E3D8-42CD-8767-29FBEFFF5D6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<sst xmlns="http://schemas.openxmlformats.org/spreadsheetml/2006/main" count="3866" uniqueCount="903">
  <si>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</si>
  <si>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</si>
  <si>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</si>
  <si>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</si>
  <si>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</si>
  <si>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</si>
  <si>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</si>
  <si>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</si>
  <si>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</si>
  <si>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</si>
  <si>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</si>
  <si>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</si>
  <si>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</si>
  <si>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</si>
  <si>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</si>
  <si>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</si>
  <si>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</si>
  <si>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</si>
  <si>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</si>
  <si>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</si>
  <si>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</si>
  <si>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</si>
  <si>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</si>
  <si>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</si>
  <si>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</si>
  <si>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</si>
  <si>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</si>
  <si>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</si>
  <si>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</si>
  <si>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</si>
  <si>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</si>
  <si>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</si>
  <si>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</si>
  <si>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</si>
  <si>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</si>
  <si>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</si>
  <si>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</si>
  <si>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</si>
  <si>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</si>
  <si>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</si>
  <si>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</si>
  <si>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</si>
  <si>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</si>
  <si>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</si>
  <si>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</si>
  <si>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</si>
  <si>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</si>
  <si>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</si>
  <si>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</si>
  <si>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</si>
  <si>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</si>
  <si>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</si>
  <si>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</si>
  <si>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</si>
  <si>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</si>
  <si>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</si>
  <si>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</si>
  <si>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</si>
  <si>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</si>
  <si>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</si>
  <si>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</si>
  <si>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</si>
  <si>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</si>
  <si>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</si>
  <si>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</si>
  <si>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</si>
  <si>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</si>
  <si>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</si>
  <si>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</si>
  <si>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</si>
  <si>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</si>
  <si>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</si>
  <si>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</si>
  <si>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</si>
  <si>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</si>
  <si>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</si>
  <si>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</si>
  <si>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</si>
  <si>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</si>
  <si>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</si>
  <si>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</si>
  <si>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</si>
  <si>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</si>
  <si>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</si>
  <si>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</si>
  <si>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</si>
  <si>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</si>
  <si>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</si>
  <si>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</si>
  <si>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</si>
  <si>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</si>
  <si>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</si>
  <si>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</si>
  <si>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</si>
  <si>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</si>
  <si>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</si>
  <si>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</si>
  <si>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</si>
  <si>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</si>
  <si>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</si>
  <si>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</si>
  <si>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</si>
  <si>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</si>
  <si>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</si>
  <si>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</si>
  <si>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</si>
  <si>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</si>
  <si>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</si>
  <si>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</si>
  <si>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</si>
  <si>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</si>
  <si>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</si>
  <si>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</si>
  <si>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</si>
  <si>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</si>
  <si>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</si>
  <si>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</si>
  <si>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</si>
  <si>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</si>
  <si>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</si>
  <si>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</si>
  <si>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</si>
  <si>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</si>
  <si>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</si>
  <si>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</si>
  <si>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</si>
  <si>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</si>
  <si>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</si>
  <si>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</si>
  <si>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</si>
  <si>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</si>
  <si>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</si>
  <si>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</si>
  <si>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</si>
  <si>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</si>
  <si>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</si>
  <si>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</si>
  <si>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</si>
  <si>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</si>
  <si>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</si>
  <si>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</si>
  <si>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</si>
  <si>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</si>
  <si>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</si>
  <si>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</si>
  <si>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</si>
  <si>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</si>
  <si>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</si>
  <si>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</si>
  <si>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</si>
  <si>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</si>
  <si>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</si>
  <si>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</si>
  <si>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</si>
  <si>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</si>
  <si>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</si>
  <si>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</si>
  <si>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</si>
  <si>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</si>
  <si>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</si>
  <si>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</si>
  <si>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</si>
  <si>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</si>
  <si>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</si>
  <si>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</si>
  <si>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</si>
  <si>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</si>
  <si>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</si>
  <si>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</si>
  <si>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</si>
  <si>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</si>
  <si>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</si>
  <si>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</si>
  <si>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</si>
  <si>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</si>
  <si>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</si>
  <si>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</si>
  <si>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</si>
  <si>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</si>
  <si>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</si>
  <si>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</si>
  <si>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</si>
  <si>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</si>
  <si>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</si>
  <si>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</si>
  <si>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</si>
  <si>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</si>
  <si>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</si>
  <si>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</si>
  <si>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</si>
  <si>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</si>
  <si>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</si>
  <si>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</si>
  <si>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</si>
  <si>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</si>
  <si>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</si>
  <si>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</si>
  <si>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</si>
  <si>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</si>
  <si>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</si>
  <si>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</si>
  <si>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</si>
  <si>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</si>
  <si>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</si>
  <si>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</si>
  <si>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</si>
  <si>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</si>
  <si>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</si>
  <si>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</si>
  <si>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</si>
  <si>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</si>
  <si>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</si>
  <si>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</si>
  <si>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</si>
  <si>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</si>
  <si>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</si>
  <si>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</si>
  <si>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</si>
  <si>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</si>
  <si>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</si>
  <si>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</si>
  <si>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</si>
  <si>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</si>
  <si>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</si>
  <si>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</si>
  <si>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</si>
  <si>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</si>
  <si>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</si>
  <si>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</si>
  <si>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</si>
  <si>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</si>
  <si>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</si>
  <si>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</si>
  <si>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</si>
  <si>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</si>
  <si>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</si>
  <si>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</si>
  <si>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</si>
  <si>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</si>
  <si>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</si>
  <si>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</si>
  <si>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</si>
  <si>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</si>
  <si>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</si>
  <si>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</si>
  <si>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</si>
  <si>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</si>
  <si>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</si>
  <si>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</si>
  <si>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</si>
  <si>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</si>
  <si>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</si>
  <si>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</si>
  <si>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</si>
  <si>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</si>
  <si>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</si>
  <si>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</si>
  <si>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</si>
  <si>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</si>
  <si>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</si>
  <si>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</si>
  <si>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</si>
  <si>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</si>
  <si>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</si>
  <si>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</si>
  <si>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</si>
  <si>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</si>
  <si>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</si>
  <si>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</si>
  <si>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</si>
  <si>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</si>
  <si>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</si>
  <si>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</si>
  <si>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</si>
  <si>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</si>
  <si>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</si>
  <si>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</si>
  <si>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</si>
  <si>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</si>
  <si>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</si>
  <si>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</si>
  <si>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</si>
  <si>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</si>
  <si>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</si>
  <si>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</si>
  <si>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</si>
  <si>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</si>
  <si>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</si>
  <si>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</si>
  <si>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</si>
  <si>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</si>
  <si>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</si>
  <si>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</si>
  <si>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</si>
  <si>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</si>
  <si>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</si>
  <si>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</si>
  <si>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</si>
  <si>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</si>
  <si>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</si>
  <si>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</si>
  <si>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</si>
  <si>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</si>
  <si>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</si>
  <si>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</si>
  <si>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</si>
  <si>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</si>
  <si>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</si>
  <si>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</si>
  <si>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</si>
  <si>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</si>
  <si>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</si>
  <si>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</si>
  <si>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</si>
  <si>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</si>
  <si>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</si>
  <si>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</si>
  <si>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</si>
  <si>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</si>
  <si>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</si>
  <si>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</si>
  <si>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</si>
  <si>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</si>
  <si>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</si>
  <si>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</si>
  <si>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</si>
  <si>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</si>
  <si>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</si>
  <si>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</si>
  <si>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</si>
  <si>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</si>
  <si>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</si>
  <si>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</si>
  <si>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</si>
  <si>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</si>
  <si>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</si>
  <si>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</si>
  <si>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</si>
  <si>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</si>
  <si>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</si>
  <si>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</si>
  <si>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</si>
  <si>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</si>
  <si>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</si>
  <si>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</si>
  <si>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</si>
  <si>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</si>
  <si>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</si>
  <si>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</si>
  <si>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</si>
  <si>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</si>
  <si>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</si>
  <si>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</si>
  <si>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</si>
  <si>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</si>
  <si>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</si>
  <si>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</si>
  <si>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</si>
  <si>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</si>
  <si>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</si>
  <si>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</si>
  <si>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</si>
  <si>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</si>
  <si>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</si>
  <si>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</si>
  <si>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</si>
  <si>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</si>
  <si>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</si>
  <si>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</si>
  <si>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</si>
  <si>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</si>
  <si>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</si>
  <si>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</si>
  <si>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</si>
  <si>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</si>
  <si>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</si>
  <si>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</si>
  <si>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</si>
  <si>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</si>
  <si>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</si>
  <si>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</si>
  <si>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</si>
  <si>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</si>
  <si>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</si>
  <si>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</si>
  <si>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</si>
  <si>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</si>
  <si>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</si>
  <si>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</si>
  <si>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</si>
  <si>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</si>
  <si>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</si>
  <si>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</si>
  <si>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</si>
  <si>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</si>
  <si>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</si>
  <si>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</si>
  <si>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</si>
  <si>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</si>
  <si>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</si>
  <si>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</si>
  <si>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</si>
  <si>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</si>
  <si>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</si>
  <si>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</si>
  <si>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</si>
  <si>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</si>
  <si>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</si>
  <si>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</si>
  <si>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</si>
  <si>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</si>
  <si>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</si>
  <si>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</si>
  <si>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</si>
  <si>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</si>
  <si>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</si>
  <si>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</si>
  <si>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</si>
  <si>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</si>
  <si>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</si>
  <si>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</si>
  <si>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</si>
  <si>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</si>
  <si>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</si>
  <si>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</si>
  <si>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</si>
  <si>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</si>
  <si>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</si>
  <si>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</si>
  <si>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</si>
  <si>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</si>
  <si>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</si>
  <si>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</si>
  <si>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</si>
  <si>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</si>
  <si>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</si>
  <si>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</si>
  <si>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</si>
  <si>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</si>
  <si>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</si>
  <si>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</si>
  <si>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</si>
  <si>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</si>
  <si>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</si>
  <si>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</si>
  <si>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</si>
  <si>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</si>
  <si>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</si>
  <si>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</si>
  <si>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</si>
  <si>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</si>
  <si>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</si>
  <si>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</si>
  <si>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</si>
  <si>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</si>
  <si>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</si>
  <si>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</si>
  <si>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</si>
  <si>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</si>
  <si>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</si>
  <si>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</si>
  <si>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</si>
  <si>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</si>
  <si>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</si>
  <si>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</si>
  <si>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</si>
  <si>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</si>
  <si>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</si>
  <si>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</si>
  <si>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</si>
  <si>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</si>
  <si>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</si>
  <si>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</si>
  <si>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</si>
  <si>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</si>
  <si>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</si>
  <si>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</si>
  <si>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</si>
  <si>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</si>
  <si>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</si>
  <si>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</si>
  <si>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</si>
  <si>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</si>
  <si>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</si>
  <si>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</si>
  <si>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</si>
  <si>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</si>
  <si>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</si>
  <si>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</si>
  <si>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</si>
  <si>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</si>
  <si>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</si>
  <si>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</si>
  <si>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</si>
  <si>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</si>
  <si>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</si>
  <si>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</si>
  <si>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</si>
  <si>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</si>
  <si>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</si>
  <si>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</si>
  <si>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</si>
  <si>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</si>
  <si>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</si>
  <si>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</si>
  <si>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</si>
  <si>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</si>
  <si>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</si>
  <si>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</si>
  <si>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</si>
  <si>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</si>
  <si>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</si>
  <si>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</si>
  <si>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</si>
  <si>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</si>
  <si>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</si>
  <si>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</si>
  <si>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</si>
  <si>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</si>
  <si>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</si>
  <si>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</si>
  <si>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</si>
  <si>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</si>
  <si>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</si>
  <si>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</si>
  <si>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</si>
  <si>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</si>
  <si>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</si>
  <si>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</si>
  <si>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</si>
  <si>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</si>
  <si>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</si>
  <si>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</si>
  <si>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</si>
  <si>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</si>
  <si>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</si>
  <si>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</si>
  <si>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</si>
  <si>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</si>
  <si>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</si>
  <si>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</si>
  <si>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</si>
  <si>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</si>
  <si>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</si>
  <si>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</si>
  <si>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</si>
  <si>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</si>
  <si>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</si>
  <si>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</si>
  <si>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</si>
  <si>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</si>
  <si>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</si>
  <si>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</si>
  <si>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</si>
  <si>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</si>
  <si>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</si>
  <si>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</si>
  <si>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</si>
  <si>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</si>
  <si>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</si>
  <si>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</si>
  <si>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</si>
  <si>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</si>
  <si>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</si>
  <si>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</si>
  <si>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</si>
  <si>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</si>
  <si>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</si>
  <si>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</si>
  <si>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</si>
  <si>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</si>
  <si>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</si>
  <si>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</si>
  <si>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</si>
  <si>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</si>
  <si>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</si>
  <si>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</si>
  <si>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</si>
  <si>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</si>
  <si>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</si>
  <si>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</si>
  <si>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</si>
  <si>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</si>
  <si>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</si>
  <si>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</si>
  <si>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</si>
  <si>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</si>
  <si>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</si>
  <si>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</si>
  <si>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</si>
  <si>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</si>
  <si>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</si>
  <si>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</si>
  <si>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</si>
  <si>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</si>
  <si>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</si>
  <si>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</si>
  <si>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</si>
  <si>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</si>
  <si>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</si>
  <si>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</si>
  <si>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</si>
  <si>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</si>
  <si>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</si>
  <si>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</si>
  <si>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</si>
  <si>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</si>
  <si>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</si>
  <si>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</si>
  <si>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</si>
  <si>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</si>
  <si>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</si>
  <si>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</si>
  <si>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</si>
  <si>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</si>
  <si>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</si>
  <si>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</si>
  <si>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</si>
  <si>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</si>
  <si>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</si>
  <si>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</si>
  <si>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</si>
  <si>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</si>
  <si>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</si>
  <si>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</si>
  <si>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</si>
  <si>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</si>
  <si>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</si>
  <si>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</si>
  <si>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</si>
  <si>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</si>
  <si>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</si>
  <si>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</si>
  <si>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</si>
  <si>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</si>
  <si>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</si>
  <si>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</si>
  <si>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</si>
  <si>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</si>
  <si>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</si>
  <si>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</si>
  <si>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</si>
  <si>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</si>
  <si>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</si>
  <si>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</si>
  <si>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</si>
  <si>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</si>
  <si>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</si>
  <si>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</si>
  <si>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</si>
  <si>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</si>
  <si>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</si>
  <si>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</si>
  <si>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</si>
  <si>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</si>
  <si>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</si>
  <si>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</si>
  <si>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</si>
  <si>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</si>
  <si>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</si>
  <si>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</si>
  <si>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</si>
  <si>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</si>
  <si>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</si>
  <si>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</si>
  <si>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</si>
  <si>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</si>
  <si>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</si>
  <si>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</si>
  <si>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</si>
  <si>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</si>
  <si>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</si>
  <si>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</si>
  <si>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</si>
  <si>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</si>
  <si>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</si>
  <si>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</si>
  <si>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</si>
  <si>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</si>
  <si>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</si>
  <si>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</si>
  <si>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</si>
  <si>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</si>
  <si>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</si>
  <si>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</si>
  <si>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</si>
  <si>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</si>
  <si>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</si>
  <si>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</si>
  <si>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</si>
  <si>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</si>
  <si>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</si>
  <si>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</si>
  <si>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</si>
  <si>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</si>
  <si>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</si>
  <si>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</si>
  <si>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</si>
  <si>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</si>
  <si>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</si>
  <si>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</si>
  <si>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</si>
  <si>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</si>
  <si>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</si>
  <si>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</si>
  <si>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</si>
  <si>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</si>
  <si>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</si>
  <si>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</si>
  <si>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</si>
  <si>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</si>
  <si>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</si>
  <si>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</si>
  <si>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</si>
  <si>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</si>
  <si>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</si>
  <si>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</si>
  <si>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</si>
  <si>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</si>
  <si>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</si>
  <si>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</si>
  <si>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</si>
  <si>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</si>
  <si>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</si>
  <si>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</si>
  <si>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</si>
  <si>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</si>
  <si>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</si>
  <si>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</si>
  <si>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</si>
  <si>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</si>
  <si>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</si>
  <si>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</si>
  <si>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</si>
  <si>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</si>
  <si>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</si>
  <si>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</si>
  <si>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</si>
  <si>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</si>
  <si>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</si>
  <si>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</si>
  <si>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</si>
  <si>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</si>
  <si>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</si>
  <si>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</si>
  <si>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</si>
  <si>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</si>
  <si>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</si>
  <si>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</si>
  <si>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</si>
  <si>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</si>
  <si>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</si>
  <si>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</si>
  <si>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</si>
  <si>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</si>
  <si>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</si>
  <si>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</si>
  <si>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</si>
  <si>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</si>
  <si>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</si>
  <si>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</si>
  <si>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</si>
  <si>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</si>
  <si>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</si>
  <si>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</si>
  <si>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</si>
  <si>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</si>
  <si>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</si>
  <si>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</si>
  <si>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</si>
  <si>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</si>
  <si>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</si>
  <si>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</si>
  <si>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</si>
  <si>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</si>
  <si>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</si>
  <si>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</si>
  <si>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</si>
  <si>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</si>
  <si>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</si>
  <si>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</si>
  <si>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</si>
  <si>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</si>
  <si>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</si>
  <si>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</si>
  <si>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</si>
  <si>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</si>
  <si>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</si>
  <si>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</si>
  <si>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</si>
  <si>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</si>
  <si>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</si>
  <si>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</si>
  <si>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</si>
  <si>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</si>
  <si>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</si>
  <si>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</si>
  <si>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</si>
  <si>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</si>
  <si>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</si>
  <si>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</si>
  <si>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</si>
  <si>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</si>
  <si>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</si>
  <si>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</si>
  <si>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</si>
  <si>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</si>
  <si>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</si>
  <si>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</si>
  <si>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</si>
  <si>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</si>
  <si>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</si>
  <si>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</si>
  <si>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</si>
  <si>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</si>
  <si>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</si>
  <si>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</si>
  <si>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</si>
  <si>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</si>
  <si>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</si>
  <si>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</si>
  <si>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</si>
  <si>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</si>
  <si>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</si>
  <si>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</si>
  <si>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</si>
  <si>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</si>
  <si>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</si>
  <si>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</si>
  <si>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</si>
  <si>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</si>
  <si>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</si>
  <si>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</si>
  <si>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</si>
  <si>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</si>
  <si>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</si>
  <si>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</si>
  <si>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</si>
  <si>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</si>
  <si>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</si>
  <si>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</si>
  <si>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</si>
  <si>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</si>
  <si>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</si>
  <si>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</si>
  <si>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</si>
  <si>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</si>
  <si>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</si>
  <si>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</si>
  <si>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</si>
  <si>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</si>
  <si>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</si>
  <si>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</si>
  <si>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</si>
  <si>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</si>
  <si>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</si>
  <si>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</si>
  <si>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</si>
  <si>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</si>
  <si>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</si>
  <si>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</si>
  <si>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</si>
  <si>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</si>
  <si>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</si>
  <si>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</si>
  <si>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</si>
  <si>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</si>
  <si>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</si>
  <si>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</si>
  <si>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</si>
  <si>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</si>
  <si>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</si>
  <si>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</si>
  <si>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</si>
  <si>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</si>
  <si>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</si>
  <si>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</si>
  <si>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</si>
  <si>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</si>
  <si>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</si>
  <si>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</si>
  <si>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</si>
  <si>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</si>
  <si>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</si>
  <si>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</si>
  <si>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</si>
  <si>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</si>
  <si>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</si>
  <si>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</si>
  <si>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</si>
  <si>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</si>
  <si>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</si>
  <si>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</si>
  <si>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</si>
  <si>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2/97</t>
  </si>
  <si>
    <t>2/01</t>
  </si>
  <si>
    <t>2/04</t>
  </si>
  <si>
    <t>07/07</t>
  </si>
  <si>
    <t>8/11</t>
  </si>
  <si>
    <t>8/20</t>
  </si>
  <si>
    <t>8/23</t>
  </si>
  <si>
    <t>07/20</t>
  </si>
  <si>
    <t>Merrimack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</si>
</sst>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3" fontId="0" fillId="0" borderId="0" xfId="0" applyNumberFormat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C074-09CE-4835-A266-CB2ACED4BC4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351</v>
      </c>
      <c r="C2" s="21">
        <v>351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2575598.29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524913.49</v>
      </c>
      <c r="G12" s="18">
        <v>17456.07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132946</v>
      </c>
      <c r="G13" s="18"/>
      <c r="H13" s="18">
        <v>-88414.43</v>
      </c>
      <c r="I13" s="18"/>
      <c r="J13" s="67">
        <f>SUM(I434)</f>
        <v>1087896.8500000001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171903.49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333323.2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3738684.4700000007</v>
      </c>
      <c r="G19" s="41">
        <f>SUM(G9:G18)</f>
        <v>17456.07</v>
      </c>
      <c r="H19" s="41">
        <f>SUM(H9:H18)</f>
        <v>-88414.43</v>
      </c>
      <c r="I19" s="41">
        <f>SUM(I9:I18)</f>
        <v>0</v>
      </c>
      <c r="J19" s="41">
        <f>SUM(J9:J18)</f>
        <v>1087896.8500000001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17456.07</v>
      </c>
      <c r="H23" s="18">
        <v>942.54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37626.33</v>
      </c>
      <c r="G25" s="18"/>
      <c r="H25" s="4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122463.57+10057.91+9579.52</f>
        <v>142101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179727.33000000002</v>
      </c>
      <c r="G33" s="41">
        <f>SUM(G23:G32)</f>
        <v>17456.07</v>
      </c>
      <c r="H33" s="41">
        <f>SUM(H23:H32)</f>
        <v>942.54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40777.230000000003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520.07000000000005</v>
      </c>
      <c r="G41" s="18"/>
      <c r="H41" s="18">
        <v>-89356.97</v>
      </c>
      <c r="I41" s="18"/>
      <c r="J41" s="13">
        <f>SUM(I449)</f>
        <v>1087896.8500000001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3517659.84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3558957.1399999997</v>
      </c>
      <c r="G43" s="41">
        <f>SUM(G35:G42)</f>
        <v>0</v>
      </c>
      <c r="H43" s="41">
        <f>SUM(H35:H42)</f>
        <v>-89356.97</v>
      </c>
      <c r="I43" s="41">
        <f>SUM(I35:I42)</f>
        <v>0</v>
      </c>
      <c r="J43" s="41">
        <f>SUM(J35:J42)</f>
        <v>1087896.8500000001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3738684.4699999997</v>
      </c>
      <c r="G44" s="41">
        <f>G43+G33</f>
        <v>17456.07</v>
      </c>
      <c r="H44" s="41">
        <f>H43+H33</f>
        <v>-88414.430000000008</v>
      </c>
      <c r="I44" s="41">
        <f>I43+I33</f>
        <v>0</v>
      </c>
      <c r="J44" s="41">
        <f>J43+J33</f>
        <v>1087896.8500000001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38083596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38083596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f>20166.94+1515</f>
        <v>21681.94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91581.2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12675.15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50995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150740.5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327673.78999999998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6046.4+36935.74</f>
        <v>42982.14</v>
      </c>
      <c r="G88" s="18">
        <v>12539</v>
      </c>
      <c r="H88" s="18"/>
      <c r="I88" s="18"/>
      <c r="J88" s="18">
        <v>3539.78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1133575.6399999999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20600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37033.82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7099.81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107715.76999999999</v>
      </c>
      <c r="G103" s="41">
        <f>SUM(G88:G102)</f>
        <v>1146114.6399999999</v>
      </c>
      <c r="H103" s="41">
        <f>SUM(H88:H102)</f>
        <v>0</v>
      </c>
      <c r="I103" s="41">
        <f>SUM(I88:I102)</f>
        <v>0</v>
      </c>
      <c r="J103" s="41">
        <f>SUM(J88:J102)</f>
        <v>3539.78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38518985.560000002</v>
      </c>
      <c r="G104" s="41">
        <f>G52+G103</f>
        <v>1146114.6399999999</v>
      </c>
      <c r="H104" s="41">
        <f>H52+H71+H86+H103</f>
        <v>0</v>
      </c>
      <c r="I104" s="41">
        <f>I52+I103</f>
        <v>0</v>
      </c>
      <c r="J104" s="41">
        <f>J52+J103</f>
        <v>3539.78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7462656.9400000004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6833660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2863189.06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17159506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506174.3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1364745.59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8099.12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73790.039999999994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1879019.0100000002</v>
      </c>
      <c r="G128" s="41">
        <f>SUM(G115:G127)</f>
        <v>73790.039999999994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19038525.010000002</v>
      </c>
      <c r="G132" s="41">
        <f>G113+SUM(G128:G129)</f>
        <v>73790.039999999994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102596.89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132832.71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144694.87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1089435.5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758863.54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758863.54</v>
      </c>
      <c r="G154" s="41">
        <f>SUM(G142:G153)</f>
        <v>144694.87</v>
      </c>
      <c r="H154" s="41">
        <f>SUM(H142:H153)</f>
        <v>1324865.1000000001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758863.54</v>
      </c>
      <c r="G161" s="41">
        <f>G139+G154+SUM(G155:G160)</f>
        <v>144694.87</v>
      </c>
      <c r="H161" s="41">
        <f>H139+H154+SUM(H155:H160)</f>
        <v>1324865.1000000001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25984.61</v>
      </c>
      <c r="H171" s="18"/>
      <c r="I171" s="18"/>
      <c r="J171" s="18">
        <v>150000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25984.61</v>
      </c>
      <c r="H175" s="41">
        <f>SUM(H171:H174)</f>
        <v>0</v>
      </c>
      <c r="I175" s="41">
        <f>SUM(I171:I174)</f>
        <v>0</v>
      </c>
      <c r="J175" s="41">
        <f>SUM(J171:J174)</f>
        <v>150000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133275.4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133275.4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133275.4</v>
      </c>
      <c r="G184" s="41">
        <f>G175+SUM(G180:G183)</f>
        <v>25984.61</v>
      </c>
      <c r="H184" s="41">
        <f>+H175+SUM(H180:H183)</f>
        <v>0</v>
      </c>
      <c r="I184" s="41">
        <f>I169+I175+SUM(I180:I183)</f>
        <v>0</v>
      </c>
      <c r="J184" s="41">
        <f>J175</f>
        <v>150000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58449649.510000005</v>
      </c>
      <c r="G185" s="47">
        <f>G104+G132+G161+G184</f>
        <v>1390584.16</v>
      </c>
      <c r="H185" s="47">
        <f>H104+H132+H161+H184</f>
        <v>1324865.1000000001</v>
      </c>
      <c r="I185" s="47">
        <f>I104+I132+I161+I184</f>
        <v>0</v>
      </c>
      <c r="J185" s="47">
        <f>J104+J132+J184</f>
        <v>153539.78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6762748.5599999996</v>
      </c>
      <c r="G189" s="18">
        <v>3048806.71</v>
      </c>
      <c r="H189" s="18">
        <v>60464.28</v>
      </c>
      <c r="I189" s="18">
        <v>340299.74</v>
      </c>
      <c r="J189" s="18">
        <v>118490.32</v>
      </c>
      <c r="K189" s="18">
        <v>0</v>
      </c>
      <c r="L189" s="19">
        <f>SUM(F189:K189)</f>
        <v>10330809.609999999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3711934.21</v>
      </c>
      <c r="G190" s="18">
        <v>1673427.57</v>
      </c>
      <c r="H190" s="18">
        <v>486110.55</v>
      </c>
      <c r="I190" s="18">
        <v>29873.35</v>
      </c>
      <c r="J190" s="18">
        <v>0</v>
      </c>
      <c r="K190" s="18">
        <v>0</v>
      </c>
      <c r="L190" s="19">
        <f>SUM(F190:K190)</f>
        <v>5901345.6799999997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4500</v>
      </c>
      <c r="I192" s="18">
        <v>0</v>
      </c>
      <c r="J192" s="18">
        <v>0</v>
      </c>
      <c r="K192" s="18">
        <v>0</v>
      </c>
      <c r="L192" s="19">
        <f>SUM(F192:K192)</f>
        <v>4500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1452076.39</v>
      </c>
      <c r="G194" s="18">
        <v>654687.93000000005</v>
      </c>
      <c r="H194" s="18">
        <v>472204.43</v>
      </c>
      <c r="I194" s="18">
        <v>10650.45</v>
      </c>
      <c r="J194" s="18">
        <v>0</v>
      </c>
      <c r="K194" s="18">
        <v>351.84</v>
      </c>
      <c r="L194" s="19">
        <f t="shared" ref="L194:L200" si="0">SUM(F194:K194)</f>
        <v>2589971.04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356923.35</v>
      </c>
      <c r="G195" s="18">
        <v>286374.86</v>
      </c>
      <c r="H195" s="18">
        <v>20237.900000000001</v>
      </c>
      <c r="I195" s="18">
        <v>63019.95</v>
      </c>
      <c r="J195" s="18">
        <v>54385.39</v>
      </c>
      <c r="K195" s="18">
        <v>12020.29</v>
      </c>
      <c r="L195" s="19">
        <f t="shared" si="0"/>
        <v>792961.74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334898.71000000002</v>
      </c>
      <c r="G196" s="18">
        <v>150980.24</v>
      </c>
      <c r="H196" s="18">
        <v>127892.72</v>
      </c>
      <c r="I196" s="18">
        <v>14511.32</v>
      </c>
      <c r="J196" s="18">
        <v>9843.9699999999993</v>
      </c>
      <c r="K196" s="18">
        <v>6951.11</v>
      </c>
      <c r="L196" s="19">
        <f t="shared" si="0"/>
        <v>645078.06999999995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1014009.4</v>
      </c>
      <c r="G197" s="18">
        <v>475578.63</v>
      </c>
      <c r="H197" s="18">
        <v>80531.66</v>
      </c>
      <c r="I197" s="18">
        <v>10524.32</v>
      </c>
      <c r="J197" s="18">
        <v>4340.88</v>
      </c>
      <c r="K197" s="18">
        <v>3740.4</v>
      </c>
      <c r="L197" s="19">
        <f t="shared" si="0"/>
        <v>1588725.2899999998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105052.47</v>
      </c>
      <c r="G198" s="18">
        <v>47360.13</v>
      </c>
      <c r="H198" s="18">
        <v>84766.47</v>
      </c>
      <c r="I198" s="18">
        <v>0</v>
      </c>
      <c r="J198" s="18">
        <v>0</v>
      </c>
      <c r="K198" s="18">
        <v>0</v>
      </c>
      <c r="L198" s="19">
        <f t="shared" si="0"/>
        <v>237179.07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851600.24</v>
      </c>
      <c r="G199" s="18">
        <v>383921.49</v>
      </c>
      <c r="H199" s="18">
        <v>346479.5</v>
      </c>
      <c r="I199" s="18">
        <v>472521.91</v>
      </c>
      <c r="J199" s="18">
        <v>5249.05</v>
      </c>
      <c r="K199" s="18">
        <v>0</v>
      </c>
      <c r="L199" s="19">
        <f t="shared" si="0"/>
        <v>2059772.19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24207.13</v>
      </c>
      <c r="G200" s="18">
        <v>10913.15</v>
      </c>
      <c r="H200" s="18">
        <v>1132226.53</v>
      </c>
      <c r="I200" s="18">
        <v>0</v>
      </c>
      <c r="J200" s="18">
        <v>0</v>
      </c>
      <c r="K200" s="18">
        <v>0</v>
      </c>
      <c r="L200" s="19">
        <f t="shared" si="0"/>
        <v>1167346.81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39967.68</v>
      </c>
      <c r="G201" s="18">
        <v>18018.37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57986.05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14653418.140000002</v>
      </c>
      <c r="G203" s="41">
        <f t="shared" si="1"/>
        <v>6750069.080000001</v>
      </c>
      <c r="H203" s="41">
        <f t="shared" si="1"/>
        <v>2815414.04</v>
      </c>
      <c r="I203" s="41">
        <f t="shared" si="1"/>
        <v>941401.04</v>
      </c>
      <c r="J203" s="41">
        <f t="shared" si="1"/>
        <v>192309.61000000002</v>
      </c>
      <c r="K203" s="41">
        <f t="shared" si="1"/>
        <v>23063.640000000003</v>
      </c>
      <c r="L203" s="41">
        <f t="shared" si="1"/>
        <v>25375675.549999997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2665133.38</v>
      </c>
      <c r="G207" s="18">
        <v>1185144.78</v>
      </c>
      <c r="H207" s="18">
        <v>19891.53</v>
      </c>
      <c r="I207" s="18">
        <v>81700.91</v>
      </c>
      <c r="J207" s="18">
        <v>6845.41</v>
      </c>
      <c r="K207" s="18">
        <v>0</v>
      </c>
      <c r="L207" s="19">
        <f>SUM(F207:K207)</f>
        <v>3958716.0100000002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1092221.2</v>
      </c>
      <c r="G208" s="18">
        <v>485694.36</v>
      </c>
      <c r="H208" s="18">
        <v>259519.79</v>
      </c>
      <c r="I208" s="18">
        <v>764.16</v>
      </c>
      <c r="J208" s="18">
        <v>0</v>
      </c>
      <c r="K208" s="18">
        <v>0</v>
      </c>
      <c r="L208" s="19">
        <f>SUM(F208:K208)</f>
        <v>1838199.51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39405</v>
      </c>
      <c r="G210" s="18">
        <v>17522.810000000001</v>
      </c>
      <c r="H210" s="18">
        <v>16919</v>
      </c>
      <c r="I210" s="18">
        <v>9208.07</v>
      </c>
      <c r="J210" s="18">
        <v>0</v>
      </c>
      <c r="K210" s="18">
        <v>0</v>
      </c>
      <c r="L210" s="19">
        <f>SUM(F210:K210)</f>
        <v>83054.880000000005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320084.32</v>
      </c>
      <c r="G212" s="18">
        <v>142355.89000000001</v>
      </c>
      <c r="H212" s="18">
        <v>119974.9</v>
      </c>
      <c r="I212" s="18">
        <v>704.2</v>
      </c>
      <c r="J212" s="18">
        <v>0</v>
      </c>
      <c r="K212" s="18">
        <v>0</v>
      </c>
      <c r="L212" s="19">
        <f t="shared" ref="L212:L218" si="2">SUM(F212:K212)</f>
        <v>583119.30999999994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118974.45</v>
      </c>
      <c r="G213" s="18">
        <v>94727.95</v>
      </c>
      <c r="H213" s="18">
        <v>6745.97</v>
      </c>
      <c r="I213" s="18">
        <v>21006.65</v>
      </c>
      <c r="J213" s="18">
        <v>18128.46</v>
      </c>
      <c r="K213" s="18">
        <v>117.28</v>
      </c>
      <c r="L213" s="19">
        <f t="shared" si="2"/>
        <v>259700.75999999998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111632.9</v>
      </c>
      <c r="G214" s="18">
        <v>49641.47</v>
      </c>
      <c r="H214" s="18">
        <v>42630.9</v>
      </c>
      <c r="I214" s="18">
        <v>4837.1099999999997</v>
      </c>
      <c r="J214" s="18">
        <v>3281.32</v>
      </c>
      <c r="K214" s="18">
        <v>4006.76</v>
      </c>
      <c r="L214" s="19">
        <f t="shared" si="2"/>
        <v>216030.46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271299.46999999997</v>
      </c>
      <c r="G215" s="18">
        <v>126789.21</v>
      </c>
      <c r="H215" s="18">
        <v>23343.95</v>
      </c>
      <c r="I215" s="18">
        <v>5146.08</v>
      </c>
      <c r="J215" s="18">
        <v>1590</v>
      </c>
      <c r="K215" s="18">
        <v>3828</v>
      </c>
      <c r="L215" s="19">
        <f t="shared" si="2"/>
        <v>431996.71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35017.49</v>
      </c>
      <c r="G216" s="18">
        <v>15571.75</v>
      </c>
      <c r="H216" s="18">
        <v>28255.49</v>
      </c>
      <c r="I216" s="18">
        <v>0</v>
      </c>
      <c r="J216" s="18">
        <v>0</v>
      </c>
      <c r="K216" s="18">
        <v>1246.8</v>
      </c>
      <c r="L216" s="19">
        <f t="shared" si="2"/>
        <v>80091.53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276740.36</v>
      </c>
      <c r="G217" s="18">
        <v>123062.28</v>
      </c>
      <c r="H217" s="18">
        <v>115314.89</v>
      </c>
      <c r="I217" s="18">
        <v>214215.8</v>
      </c>
      <c r="J217" s="18">
        <v>1749.68</v>
      </c>
      <c r="K217" s="18">
        <v>0</v>
      </c>
      <c r="L217" s="19">
        <f t="shared" si="2"/>
        <v>731083.01000000013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8069.04</v>
      </c>
      <c r="G218" s="18">
        <v>3588.18</v>
      </c>
      <c r="H218" s="18">
        <f>366943.06</f>
        <v>366943.06</v>
      </c>
      <c r="I218" s="18">
        <v>0</v>
      </c>
      <c r="J218" s="18">
        <v>0</v>
      </c>
      <c r="K218" s="18">
        <v>0</v>
      </c>
      <c r="L218" s="19">
        <f t="shared" si="2"/>
        <v>378600.27999999997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13322.56</v>
      </c>
      <c r="G219" s="18">
        <v>5924.34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19246.900000000001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4951900.17</v>
      </c>
      <c r="G221" s="41">
        <f>SUM(G207:G220)</f>
        <v>2250023.02</v>
      </c>
      <c r="H221" s="41">
        <f>SUM(H207:H220)</f>
        <v>999539.48</v>
      </c>
      <c r="I221" s="41">
        <f>SUM(I207:I220)</f>
        <v>337582.98</v>
      </c>
      <c r="J221" s="41">
        <f>SUM(J207:J220)</f>
        <v>31594.87</v>
      </c>
      <c r="K221" s="41">
        <f t="shared" si="3"/>
        <v>9198.84</v>
      </c>
      <c r="L221" s="41">
        <f t="shared" si="3"/>
        <v>8579839.3599999994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5640271.46</v>
      </c>
      <c r="G225" s="18">
        <v>2750101.73</v>
      </c>
      <c r="H225" s="18">
        <v>122053.33</v>
      </c>
      <c r="I225" s="18">
        <v>250249.18</v>
      </c>
      <c r="J225" s="18">
        <v>27243.48</v>
      </c>
      <c r="K225" s="18">
        <v>0</v>
      </c>
      <c r="L225" s="19">
        <f>SUM(F225:K225)</f>
        <v>8789919.1799999997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1897347.06</v>
      </c>
      <c r="G226" s="18">
        <v>925114.59</v>
      </c>
      <c r="H226" s="18">
        <v>3062732.78</v>
      </c>
      <c r="I226" s="18">
        <v>1719.36</v>
      </c>
      <c r="J226" s="18">
        <v>0</v>
      </c>
      <c r="K226" s="18">
        <v>0</v>
      </c>
      <c r="L226" s="19">
        <f>SUM(F226:K226)</f>
        <v>5886913.79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33631.519999999997</v>
      </c>
      <c r="I227" s="18">
        <v>0</v>
      </c>
      <c r="J227" s="18">
        <v>0</v>
      </c>
      <c r="K227" s="18">
        <v>0</v>
      </c>
      <c r="L227" s="19">
        <f>SUM(F227:K227)</f>
        <v>33631.519999999997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317869.84000000003</v>
      </c>
      <c r="G228" s="18">
        <v>154988</v>
      </c>
      <c r="H228" s="18">
        <v>74240.06</v>
      </c>
      <c r="I228" s="18">
        <v>73127.350000000006</v>
      </c>
      <c r="J228" s="18">
        <v>0</v>
      </c>
      <c r="K228" s="18">
        <v>11395.07</v>
      </c>
      <c r="L228" s="19">
        <f>SUM(F228:K228)</f>
        <v>631620.31999999995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557750.1</v>
      </c>
      <c r="G230" s="18">
        <v>271992.78999999998</v>
      </c>
      <c r="H230" s="18">
        <v>162180.88</v>
      </c>
      <c r="I230" s="18">
        <v>4834.8500000000004</v>
      </c>
      <c r="J230" s="18">
        <v>178.95</v>
      </c>
      <c r="K230" s="18">
        <v>0</v>
      </c>
      <c r="L230" s="19">
        <f t="shared" ref="L230:L236" si="4">SUM(F230:K230)</f>
        <v>996937.56999999983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267692.51</v>
      </c>
      <c r="G231" s="18">
        <v>224621.43</v>
      </c>
      <c r="H231" s="18">
        <v>15178.42</v>
      </c>
      <c r="I231" s="18">
        <v>47264.97</v>
      </c>
      <c r="J231" s="18">
        <v>40789.040000000001</v>
      </c>
      <c r="K231" s="18">
        <v>263.88</v>
      </c>
      <c r="L231" s="19">
        <f t="shared" si="4"/>
        <v>595810.25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251174.03</v>
      </c>
      <c r="G232" s="18">
        <v>122468.24</v>
      </c>
      <c r="H232" s="18">
        <v>95919.53</v>
      </c>
      <c r="I232" s="18">
        <v>10883.49</v>
      </c>
      <c r="J232" s="18">
        <v>7382.97</v>
      </c>
      <c r="K232" s="18">
        <v>9015.2099999999991</v>
      </c>
      <c r="L232" s="19">
        <f t="shared" si="4"/>
        <v>496843.47000000003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551196.64</v>
      </c>
      <c r="G233" s="18">
        <v>282583.65999999997</v>
      </c>
      <c r="H233" s="18">
        <v>57447.07</v>
      </c>
      <c r="I233" s="18">
        <v>9962.27</v>
      </c>
      <c r="J233" s="18">
        <v>0</v>
      </c>
      <c r="K233" s="18">
        <v>35500.46</v>
      </c>
      <c r="L233" s="19">
        <f t="shared" si="4"/>
        <v>936690.1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103379.27</v>
      </c>
      <c r="G234" s="18">
        <v>50406</v>
      </c>
      <c r="H234" s="18">
        <v>63574.85</v>
      </c>
      <c r="I234" s="18">
        <v>0</v>
      </c>
      <c r="J234" s="18">
        <v>0</v>
      </c>
      <c r="K234" s="18">
        <v>2805.3</v>
      </c>
      <c r="L234" s="19">
        <f t="shared" si="4"/>
        <v>220165.42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526694.65</v>
      </c>
      <c r="G235" s="18">
        <v>256807.47</v>
      </c>
      <c r="H235" s="18">
        <v>266731.63</v>
      </c>
      <c r="I235" s="18">
        <v>341452.33</v>
      </c>
      <c r="J235" s="18">
        <v>3936.78</v>
      </c>
      <c r="K235" s="18">
        <v>0</v>
      </c>
      <c r="L235" s="19">
        <f t="shared" si="4"/>
        <v>1395622.86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18155.34</v>
      </c>
      <c r="G236" s="18">
        <v>8852.24</v>
      </c>
      <c r="H236" s="18">
        <f>1308213</f>
        <v>1308213</v>
      </c>
      <c r="I236" s="18">
        <v>0</v>
      </c>
      <c r="J236" s="18">
        <v>0</v>
      </c>
      <c r="K236" s="18">
        <v>0</v>
      </c>
      <c r="L236" s="19">
        <f t="shared" si="4"/>
        <v>1335220.58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29975.759999999998</v>
      </c>
      <c r="G237" s="18">
        <v>14615.68</v>
      </c>
      <c r="H237" s="18">
        <v>0</v>
      </c>
      <c r="I237" s="18">
        <v>0</v>
      </c>
      <c r="J237" s="18">
        <v>0</v>
      </c>
      <c r="K237" s="18">
        <v>24979.69</v>
      </c>
      <c r="L237" s="19">
        <f>SUM(F237:K237)</f>
        <v>69571.13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10161506.659999998</v>
      </c>
      <c r="G239" s="41">
        <f t="shared" si="5"/>
        <v>5062551.83</v>
      </c>
      <c r="H239" s="41">
        <f t="shared" si="5"/>
        <v>5261903.0699999994</v>
      </c>
      <c r="I239" s="41">
        <f t="shared" si="5"/>
        <v>739493.8</v>
      </c>
      <c r="J239" s="41">
        <f t="shared" si="5"/>
        <v>79531.22</v>
      </c>
      <c r="K239" s="41">
        <f t="shared" si="5"/>
        <v>83959.61</v>
      </c>
      <c r="L239" s="41">
        <f t="shared" si="5"/>
        <v>21388946.190000001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5606.5</v>
      </c>
      <c r="G243" s="18">
        <v>0</v>
      </c>
      <c r="H243" s="18">
        <v>0</v>
      </c>
      <c r="I243" s="18">
        <v>1896.2</v>
      </c>
      <c r="J243" s="18">
        <v>0</v>
      </c>
      <c r="K243" s="18">
        <v>0</v>
      </c>
      <c r="L243" s="19">
        <f t="shared" si="6"/>
        <v>7502.7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474306.89</v>
      </c>
      <c r="I247" s="18">
        <v>0</v>
      </c>
      <c r="J247" s="18">
        <v>0</v>
      </c>
      <c r="K247" s="18">
        <v>0</v>
      </c>
      <c r="L247" s="19">
        <f t="shared" si="6"/>
        <v>474306.89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5606.5</v>
      </c>
      <c r="G248" s="41">
        <f t="shared" si="7"/>
        <v>0</v>
      </c>
      <c r="H248" s="41">
        <f t="shared" si="7"/>
        <v>474306.89</v>
      </c>
      <c r="I248" s="41">
        <f t="shared" si="7"/>
        <v>1896.2</v>
      </c>
      <c r="J248" s="41">
        <f t="shared" si="7"/>
        <v>0</v>
      </c>
      <c r="K248" s="41">
        <f t="shared" si="7"/>
        <v>0</v>
      </c>
      <c r="L248" s="41">
        <f>SUM(F248:K248)</f>
        <v>481809.59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29772431.469999999</v>
      </c>
      <c r="G249" s="41">
        <f t="shared" si="8"/>
        <v>14062643.930000002</v>
      </c>
      <c r="H249" s="41">
        <f t="shared" si="8"/>
        <v>9551163.4800000004</v>
      </c>
      <c r="I249" s="41">
        <f t="shared" si="8"/>
        <v>2020374.02</v>
      </c>
      <c r="J249" s="41">
        <f t="shared" si="8"/>
        <v>303435.7</v>
      </c>
      <c r="K249" s="41">
        <f t="shared" si="8"/>
        <v>116222.09</v>
      </c>
      <c r="L249" s="41">
        <f t="shared" si="8"/>
        <v>55826270.689999998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1385000</v>
      </c>
      <c r="L252" s="19">
        <f>SUM(F252:K252)</f>
        <v>1385000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748904.38</v>
      </c>
      <c r="L253" s="19">
        <f>SUM(F253:K253)</f>
        <v>748904.38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25984.61</v>
      </c>
      <c r="L255" s="19">
        <f>SUM(F255:K255)</f>
        <v>25984.61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150000</v>
      </c>
      <c r="L258" s="19">
        <f t="shared" si="9"/>
        <v>150000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2309888.9899999998</v>
      </c>
      <c r="L262" s="41">
        <f t="shared" si="9"/>
        <v>2309888.9899999998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29772431.469999999</v>
      </c>
      <c r="G263" s="42">
        <f t="shared" si="11"/>
        <v>14062643.930000002</v>
      </c>
      <c r="H263" s="42">
        <f t="shared" si="11"/>
        <v>9551163.4800000004</v>
      </c>
      <c r="I263" s="42">
        <f t="shared" si="11"/>
        <v>2020374.02</v>
      </c>
      <c r="J263" s="42">
        <f t="shared" si="11"/>
        <v>303435.7</v>
      </c>
      <c r="K263" s="42">
        <f t="shared" si="11"/>
        <v>2426111.0799999996</v>
      </c>
      <c r="L263" s="42">
        <f t="shared" si="11"/>
        <v>58136159.68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118937.9+167138.56</f>
        <v>286076.45999999996</v>
      </c>
      <c r="G269" s="18"/>
      <c r="H269" s="18"/>
      <c r="I269" s="18"/>
      <c r="J269" s="18"/>
      <c r="K269" s="18"/>
      <c r="L269" s="19">
        <f>SUM(F269:K269)</f>
        <v>286076.45999999996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287741.8+16430</f>
        <v>304171.8</v>
      </c>
      <c r="I273" s="18"/>
      <c r="J273" s="18"/>
      <c r="K273" s="18"/>
      <c r="L273" s="19">
        <f t="shared" ref="L273:L279" si="12">SUM(F273:K273)</f>
        <v>304171.8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28611.26</v>
      </c>
      <c r="G274" s="18">
        <v>2247.25</v>
      </c>
      <c r="H274" s="18">
        <f>46093.44+917.81</f>
        <v>47011.25</v>
      </c>
      <c r="I274" s="18">
        <f>20108.4+17187.05</f>
        <v>37295.449999999997</v>
      </c>
      <c r="J274" s="18"/>
      <c r="K274" s="18"/>
      <c r="L274" s="19">
        <f t="shared" si="12"/>
        <v>115165.20999999999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>
        <v>14603.24</v>
      </c>
      <c r="J275" s="18"/>
      <c r="K275" s="18"/>
      <c r="L275" s="19">
        <f t="shared" si="12"/>
        <v>14603.24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314687.71999999997</v>
      </c>
      <c r="G282" s="42">
        <f t="shared" si="13"/>
        <v>2247.25</v>
      </c>
      <c r="H282" s="42">
        <f t="shared" si="13"/>
        <v>351183.05</v>
      </c>
      <c r="I282" s="42">
        <f t="shared" si="13"/>
        <v>51898.689999999995</v>
      </c>
      <c r="J282" s="42">
        <f t="shared" si="13"/>
        <v>0</v>
      </c>
      <c r="K282" s="42">
        <f t="shared" si="13"/>
        <v>0</v>
      </c>
      <c r="L282" s="41">
        <f t="shared" si="13"/>
        <v>720016.71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39645.96</v>
      </c>
      <c r="G288" s="18"/>
      <c r="H288" s="18"/>
      <c r="I288" s="18"/>
      <c r="J288" s="18"/>
      <c r="K288" s="18"/>
      <c r="L288" s="19">
        <f>SUM(F288:K288)</f>
        <v>39645.96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95913.93</v>
      </c>
      <c r="I292" s="18"/>
      <c r="J292" s="18"/>
      <c r="K292" s="18"/>
      <c r="L292" s="19">
        <f t="shared" ref="L292:L298" si="14">SUM(F292:K292)</f>
        <v>95913.93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9537.08</v>
      </c>
      <c r="G293" s="18">
        <v>749.08</v>
      </c>
      <c r="H293" s="18">
        <f>15364.48+305.94</f>
        <v>15670.42</v>
      </c>
      <c r="I293" s="18">
        <f>6702.81+14908.24</f>
        <v>21611.05</v>
      </c>
      <c r="J293" s="18"/>
      <c r="K293" s="18"/>
      <c r="L293" s="19">
        <f t="shared" si="14"/>
        <v>47567.630000000005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4"/>
      <c r="G294" s="4"/>
      <c r="H294" s="18"/>
      <c r="I294" s="18">
        <v>4867.75</v>
      </c>
      <c r="J294" s="18"/>
      <c r="K294" s="18"/>
      <c r="L294" s="19">
        <f t="shared" si="14"/>
        <v>4867.75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58945.599999999999</v>
      </c>
      <c r="G295" s="18">
        <v>22188.33</v>
      </c>
      <c r="H295" s="18">
        <v>22037.26</v>
      </c>
      <c r="I295" s="18"/>
      <c r="J295" s="18"/>
      <c r="K295" s="18"/>
      <c r="L295" s="19">
        <f t="shared" si="14"/>
        <v>103171.18999999999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108128.64</v>
      </c>
      <c r="G301" s="42">
        <f t="shared" si="15"/>
        <v>22937.410000000003</v>
      </c>
      <c r="H301" s="42">
        <f t="shared" si="15"/>
        <v>133621.60999999999</v>
      </c>
      <c r="I301" s="42">
        <f t="shared" si="15"/>
        <v>26478.799999999999</v>
      </c>
      <c r="J301" s="42">
        <f t="shared" si="15"/>
        <v>0</v>
      </c>
      <c r="K301" s="42">
        <f t="shared" si="15"/>
        <v>0</v>
      </c>
      <c r="L301" s="41">
        <f t="shared" si="15"/>
        <v>291166.45999999996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89203.41</v>
      </c>
      <c r="G307" s="18">
        <v>1169.96</v>
      </c>
      <c r="H307" s="18"/>
      <c r="I307" s="18"/>
      <c r="J307" s="18"/>
      <c r="K307" s="18"/>
      <c r="L307" s="19">
        <f>SUM(F307:K307)</f>
        <v>90373.37000000001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215806.4+4700</f>
        <v>220506.4</v>
      </c>
      <c r="I311" s="18"/>
      <c r="J311" s="18"/>
      <c r="K311" s="18"/>
      <c r="L311" s="19">
        <f t="shared" ref="L311:L317" si="16">SUM(F311:K311)</f>
        <v>220506.4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21458.44</v>
      </c>
      <c r="G312" s="18">
        <v>1685.44</v>
      </c>
      <c r="H312" s="18">
        <f>34570.08+688.36</f>
        <v>35258.44</v>
      </c>
      <c r="I312" s="18">
        <v>15081.3</v>
      </c>
      <c r="J312" s="18"/>
      <c r="K312" s="18"/>
      <c r="L312" s="19">
        <f t="shared" si="16"/>
        <v>73483.62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>
        <f>10952.43-0.07-0.01</f>
        <v>10952.35</v>
      </c>
      <c r="J313" s="18"/>
      <c r="K313" s="18"/>
      <c r="L313" s="19">
        <f t="shared" si="16"/>
        <v>10952.35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110661.85</v>
      </c>
      <c r="G320" s="42">
        <f t="shared" si="17"/>
        <v>2855.4</v>
      </c>
      <c r="H320" s="42">
        <f t="shared" si="17"/>
        <v>255764.84</v>
      </c>
      <c r="I320" s="42">
        <f t="shared" si="17"/>
        <v>26033.65</v>
      </c>
      <c r="J320" s="42">
        <f t="shared" si="17"/>
        <v>0</v>
      </c>
      <c r="K320" s="42">
        <f t="shared" si="17"/>
        <v>0</v>
      </c>
      <c r="L320" s="41">
        <f t="shared" si="17"/>
        <v>395315.74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533478.21</v>
      </c>
      <c r="G330" s="41">
        <f t="shared" si="20"/>
        <v>28040.060000000005</v>
      </c>
      <c r="H330" s="41">
        <f t="shared" si="20"/>
        <v>740569.5</v>
      </c>
      <c r="I330" s="41">
        <f t="shared" si="20"/>
        <v>104411.13999999998</v>
      </c>
      <c r="J330" s="41">
        <f t="shared" si="20"/>
        <v>0</v>
      </c>
      <c r="K330" s="41">
        <f t="shared" si="20"/>
        <v>0</v>
      </c>
      <c r="L330" s="41">
        <f t="shared" si="20"/>
        <v>1406498.91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533478.21</v>
      </c>
      <c r="G344" s="41">
        <f>G330</f>
        <v>28040.060000000005</v>
      </c>
      <c r="H344" s="41">
        <f>H330</f>
        <v>740569.5</v>
      </c>
      <c r="I344" s="41">
        <f>I330</f>
        <v>104411.13999999998</v>
      </c>
      <c r="J344" s="41">
        <f>J330</f>
        <v>0</v>
      </c>
      <c r="K344" s="47">
        <f>K330+K343</f>
        <v>0</v>
      </c>
      <c r="L344" s="41">
        <f>L330+L343</f>
        <v>1406498.91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267875.84000000003</v>
      </c>
      <c r="G350" s="18">
        <v>14176.32</v>
      </c>
      <c r="H350" s="18">
        <v>5363.39</v>
      </c>
      <c r="I350" s="18">
        <v>358388.05</v>
      </c>
      <c r="J350" s="18">
        <v>14035.09</v>
      </c>
      <c r="K350" s="18"/>
      <c r="L350" s="13">
        <f>SUM(F350:K350)</f>
        <v>659838.69000000006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101644.35</v>
      </c>
      <c r="G351" s="18">
        <v>4725.4399999999996</v>
      </c>
      <c r="H351" s="18">
        <v>1787.8</v>
      </c>
      <c r="I351" s="18">
        <v>119462.68</v>
      </c>
      <c r="J351" s="18">
        <v>4678.3599999999997</v>
      </c>
      <c r="K351" s="18"/>
      <c r="L351" s="19">
        <f>SUM(F351:K351)</f>
        <v>232298.63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204474.71</v>
      </c>
      <c r="G352" s="18">
        <v>10632.24</v>
      </c>
      <c r="H352" s="18">
        <v>4022.54</v>
      </c>
      <c r="I352" s="18">
        <v>268791.03999999998</v>
      </c>
      <c r="J352" s="18">
        <v>10526.31</v>
      </c>
      <c r="K352" s="18"/>
      <c r="L352" s="19">
        <f>SUM(F352:K352)</f>
        <v>498446.83999999997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573994.9</v>
      </c>
      <c r="G354" s="47">
        <f t="shared" si="22"/>
        <v>29534</v>
      </c>
      <c r="H354" s="47">
        <f t="shared" si="22"/>
        <v>11173.73</v>
      </c>
      <c r="I354" s="47">
        <f t="shared" si="22"/>
        <v>746641.77</v>
      </c>
      <c r="J354" s="47">
        <f t="shared" si="22"/>
        <v>29239.760000000002</v>
      </c>
      <c r="K354" s="47">
        <f t="shared" si="22"/>
        <v>0</v>
      </c>
      <c r="L354" s="47">
        <f t="shared" si="22"/>
        <v>1390584.1600000001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323818.14</v>
      </c>
      <c r="G359" s="18">
        <v>107939.38</v>
      </c>
      <c r="H359" s="18">
        <v>242863.6</v>
      </c>
      <c r="I359" s="56">
        <f>SUM(F359:H359)</f>
        <v>674621.12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34569.919999999998</v>
      </c>
      <c r="G360" s="63">
        <v>11523.31</v>
      </c>
      <c r="H360" s="63">
        <v>25927.42</v>
      </c>
      <c r="I360" s="56">
        <f>SUM(F360:H360)</f>
        <v>72020.649999999994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358388.06</v>
      </c>
      <c r="G361" s="47">
        <f>SUM(G359:G360)</f>
        <v>119462.69</v>
      </c>
      <c r="H361" s="47">
        <f>SUM(H359:H360)</f>
        <v>268791.02</v>
      </c>
      <c r="I361" s="47">
        <f>SUM(I359:I360)</f>
        <v>746641.77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150000</v>
      </c>
      <c r="H380" s="18"/>
      <c r="I380" s="18"/>
      <c r="J380" s="24" t="s">
        <v>312</v>
      </c>
      <c r="K380" s="24" t="s">
        <v>312</v>
      </c>
      <c r="L380" s="56">
        <f t="shared" si="25"/>
        <v>150000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3539.78</v>
      </c>
      <c r="I381" s="18"/>
      <c r="J381" s="24" t="s">
        <v>312</v>
      </c>
      <c r="K381" s="24" t="s">
        <v>312</v>
      </c>
      <c r="L381" s="56">
        <f t="shared" si="25"/>
        <v>3539.78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150000</v>
      </c>
      <c r="H385" s="139">
        <f>SUM(H379:H384)</f>
        <v>3539.78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153539.78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150000</v>
      </c>
      <c r="H400" s="47">
        <f>H385+H393+H399</f>
        <v>3539.78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153539.78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1087896.8500000001</v>
      </c>
      <c r="G434" s="18"/>
      <c r="H434" s="18"/>
      <c r="I434" s="56">
        <f t="shared" si="33"/>
        <v>1087896.8500000001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1087896.8500000001</v>
      </c>
      <c r="G438" s="13">
        <f>SUM(G431:G437)</f>
        <v>0</v>
      </c>
      <c r="H438" s="13">
        <f>SUM(H431:H437)</f>
        <v>0</v>
      </c>
      <c r="I438" s="13">
        <f>SUM(I431:I437)</f>
        <v>1087896.8500000001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1087896.8500000001</v>
      </c>
      <c r="G449" s="18"/>
      <c r="H449" s="18"/>
      <c r="I449" s="56">
        <f>SUM(F449:H449)</f>
        <v>1087896.8500000001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1087896.8500000001</v>
      </c>
      <c r="G450" s="83">
        <f>SUM(G446:G449)</f>
        <v>0</v>
      </c>
      <c r="H450" s="83">
        <f>SUM(H446:H449)</f>
        <v>0</v>
      </c>
      <c r="I450" s="83">
        <f>SUM(I446:I449)</f>
        <v>1087896.8500000001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1087896.8500000001</v>
      </c>
      <c r="G451" s="42">
        <f>G444+G450</f>
        <v>0</v>
      </c>
      <c r="H451" s="42">
        <f>H444+H450</f>
        <v>0</v>
      </c>
      <c r="I451" s="42">
        <f>I444+I450</f>
        <v>1087896.8500000001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3204690.08</v>
      </c>
      <c r="G455" s="18">
        <v>0</v>
      </c>
      <c r="H455" s="18">
        <v>-7723.16</v>
      </c>
      <c r="I455" s="18"/>
      <c r="J455" s="18">
        <v>1017303.07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58449649.509999998</v>
      </c>
      <c r="G458" s="18">
        <v>1390584.16</v>
      </c>
      <c r="H458" s="18">
        <v>1324865.1000000001</v>
      </c>
      <c r="I458" s="18"/>
      <c r="J458" s="18">
        <f>150000+3539.78</f>
        <v>153539.78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40777.230000000003</v>
      </c>
      <c r="G459" s="18"/>
      <c r="H459" s="18"/>
      <c r="I459" s="18"/>
      <c r="J459" s="18">
        <v>50000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58490426.739999995</v>
      </c>
      <c r="G460" s="53">
        <f>SUM(G458:G459)</f>
        <v>1390584.16</v>
      </c>
      <c r="H460" s="53">
        <f>SUM(H458:H459)</f>
        <v>1324865.1000000001</v>
      </c>
      <c r="I460" s="53">
        <f>SUM(I458:I459)</f>
        <v>0</v>
      </c>
      <c r="J460" s="53">
        <f>SUM(J458:J459)</f>
        <v>203539.78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58136159.68</v>
      </c>
      <c r="G462" s="18">
        <v>1390584.16</v>
      </c>
      <c r="H462" s="18">
        <v>1406498.91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132946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58136159.68</v>
      </c>
      <c r="G464" s="53">
        <f>SUM(G462:G463)</f>
        <v>1390584.16</v>
      </c>
      <c r="H464" s="53">
        <f>SUM(H462:H463)</f>
        <v>1406498.91</v>
      </c>
      <c r="I464" s="53">
        <f>SUM(I462:I463)</f>
        <v>0</v>
      </c>
      <c r="J464" s="53">
        <f>SUM(J462:J463)</f>
        <v>132946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3558957.1399999931</v>
      </c>
      <c r="G466" s="53">
        <f>(G455+G460)- G464</f>
        <v>0</v>
      </c>
      <c r="H466" s="53">
        <f>(H455+H460)- H464</f>
        <v>-89356.969999999739</v>
      </c>
      <c r="I466" s="53">
        <f>(I455+I460)- I464</f>
        <v>0</v>
      </c>
      <c r="J466" s="53">
        <f>(J455+J460)- J464</f>
        <v>1087896.8499999999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20</v>
      </c>
      <c r="H480" s="154">
        <v>20</v>
      </c>
      <c r="I480" s="154">
        <v>12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4737447</v>
      </c>
      <c r="G483" s="18">
        <v>5915851</v>
      </c>
      <c r="H483" s="18">
        <v>15525000</v>
      </c>
      <c r="I483" s="18">
        <v>3675816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</v>
      </c>
      <c r="G484" s="18">
        <v>5.31</v>
      </c>
      <c r="H484" s="18">
        <v>3.52</v>
      </c>
      <c r="I484" s="18">
        <v>4.4800000000000004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1260000</v>
      </c>
      <c r="G485" s="18">
        <v>3540000</v>
      </c>
      <c r="H485" s="18">
        <v>11625000</v>
      </c>
      <c r="I485" s="18">
        <v>3329421.63</v>
      </c>
      <c r="J485" s="18"/>
      <c r="K485" s="53">
        <f>SUM(F485:J485)</f>
        <v>19754421.629999999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315000</v>
      </c>
      <c r="G487" s="18">
        <v>295000</v>
      </c>
      <c r="H487" s="18">
        <v>780000</v>
      </c>
      <c r="I487" s="18">
        <v>182138.91</v>
      </c>
      <c r="J487" s="18"/>
      <c r="K487" s="53">
        <f t="shared" si="34"/>
        <v>1572138.91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945000</v>
      </c>
      <c r="G488" s="205">
        <v>3245000</v>
      </c>
      <c r="H488" s="205">
        <v>10850000</v>
      </c>
      <c r="I488" s="205">
        <v>3147282.72</v>
      </c>
      <c r="J488" s="205"/>
      <c r="K488" s="206">
        <f t="shared" si="34"/>
        <v>18187282.719999999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81427.5</v>
      </c>
      <c r="G489" s="18">
        <v>877330</v>
      </c>
      <c r="H489" s="18">
        <v>3448750</v>
      </c>
      <c r="I489" s="18">
        <v>876557.06</v>
      </c>
      <c r="J489" s="18"/>
      <c r="K489" s="53">
        <f t="shared" si="34"/>
        <v>5284064.5600000005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1026427.5</v>
      </c>
      <c r="G490" s="42">
        <f>SUM(G488:G489)</f>
        <v>4122330</v>
      </c>
      <c r="H490" s="42">
        <f>SUM(H488:H489)</f>
        <v>14298750</v>
      </c>
      <c r="I490" s="42">
        <f>SUM(I488:I489)</f>
        <v>4023839.7800000003</v>
      </c>
      <c r="J490" s="42">
        <f>SUM(J488:J489)</f>
        <v>0</v>
      </c>
      <c r="K490" s="42">
        <f t="shared" si="34"/>
        <v>23471347.280000001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315000</v>
      </c>
      <c r="G491" s="205">
        <v>295000</v>
      </c>
      <c r="H491" s="205">
        <v>775000</v>
      </c>
      <c r="I491" s="205">
        <v>201903.98</v>
      </c>
      <c r="J491" s="205"/>
      <c r="K491" s="206">
        <f t="shared" si="34"/>
        <v>1586903.98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45202.5</v>
      </c>
      <c r="G492" s="18">
        <v>165347.5</v>
      </c>
      <c r="H492" s="18">
        <v>484375</v>
      </c>
      <c r="I492" s="18">
        <v>141102.15</v>
      </c>
      <c r="J492" s="18"/>
      <c r="K492" s="53">
        <f t="shared" si="34"/>
        <v>836027.15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360202.5</v>
      </c>
      <c r="G493" s="42">
        <f>SUM(G491:G492)</f>
        <v>460347.5</v>
      </c>
      <c r="H493" s="42">
        <f>SUM(H491:H492)</f>
        <v>1259375</v>
      </c>
      <c r="I493" s="42">
        <f>SUM(I491:I492)</f>
        <v>343006.13</v>
      </c>
      <c r="J493" s="42">
        <f>SUM(J491:J492)</f>
        <v>0</v>
      </c>
      <c r="K493" s="42">
        <f t="shared" si="34"/>
        <v>2422931.13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3998010.67</v>
      </c>
      <c r="G511" s="18">
        <v>1673427.57</v>
      </c>
      <c r="H511" s="18">
        <v>486110.55</v>
      </c>
      <c r="I511" s="18">
        <v>29873.35</v>
      </c>
      <c r="J511" s="18">
        <v>0</v>
      </c>
      <c r="K511" s="18"/>
      <c r="L511" s="88">
        <f>SUM(F511:K511)</f>
        <v>6187422.1399999997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1131867.1599999999</v>
      </c>
      <c r="G512" s="18">
        <v>485694.36</v>
      </c>
      <c r="H512" s="18">
        <v>259519.79</v>
      </c>
      <c r="I512" s="18">
        <v>764.16</v>
      </c>
      <c r="J512" s="18">
        <v>0</v>
      </c>
      <c r="K512" s="18">
        <v>0</v>
      </c>
      <c r="L512" s="88">
        <f>SUM(F512:K512)</f>
        <v>1877845.47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1986550.47</v>
      </c>
      <c r="G513" s="18">
        <v>926284.55</v>
      </c>
      <c r="H513" s="18">
        <v>3062732.78</v>
      </c>
      <c r="I513" s="18">
        <v>1719.36</v>
      </c>
      <c r="J513" s="18">
        <v>0</v>
      </c>
      <c r="K513" s="18">
        <v>0</v>
      </c>
      <c r="L513" s="88">
        <f>SUM(F513:K513)</f>
        <v>5977287.1600000001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7116428.2999999998</v>
      </c>
      <c r="G514" s="108">
        <f t="shared" ref="G514:L514" si="35">SUM(G511:G513)</f>
        <v>3085406.4800000004</v>
      </c>
      <c r="H514" s="108">
        <f t="shared" si="35"/>
        <v>3808363.1199999996</v>
      </c>
      <c r="I514" s="108">
        <f t="shared" si="35"/>
        <v>32356.87</v>
      </c>
      <c r="J514" s="108">
        <f t="shared" si="35"/>
        <v>0</v>
      </c>
      <c r="K514" s="108">
        <f t="shared" si="35"/>
        <v>0</v>
      </c>
      <c r="L514" s="89">
        <f t="shared" si="35"/>
        <v>14042554.77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271">
        <f>978490.26</f>
        <v>978490.26</v>
      </c>
      <c r="G516" s="18">
        <v>75600</v>
      </c>
      <c r="H516" s="18"/>
      <c r="I516" s="18"/>
      <c r="J516" s="18"/>
      <c r="K516" s="18"/>
      <c r="L516" s="88">
        <f>SUM(F516:K516)</f>
        <v>1054090.26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222759.44</v>
      </c>
      <c r="G517" s="18">
        <v>44550</v>
      </c>
      <c r="H517" s="18"/>
      <c r="I517" s="18"/>
      <c r="J517" s="18"/>
      <c r="K517" s="18"/>
      <c r="L517" s="88">
        <f>SUM(F517:K517)</f>
        <v>267309.44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25956.5</v>
      </c>
      <c r="G518" s="18">
        <v>5071.2</v>
      </c>
      <c r="H518" s="18"/>
      <c r="I518" s="18"/>
      <c r="J518" s="18"/>
      <c r="K518" s="18"/>
      <c r="L518" s="88">
        <f>SUM(F518:K518)</f>
        <v>31027.7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1227206.2</v>
      </c>
      <c r="G519" s="89">
        <f t="shared" ref="G519:L519" si="36">SUM(G516:G518)</f>
        <v>125221.2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1352427.4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79010.673599999995</v>
      </c>
      <c r="G521" s="18">
        <v>14602</v>
      </c>
      <c r="H521" s="18">
        <v>454199.58519999997</v>
      </c>
      <c r="I521" s="18">
        <v>16101.033600000001</v>
      </c>
      <c r="J521" s="18"/>
      <c r="K521" s="18"/>
      <c r="L521" s="88">
        <f>SUM(F521:K521)</f>
        <v>563913.29239999992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26336.891199999998</v>
      </c>
      <c r="G522" s="18">
        <v>5267</v>
      </c>
      <c r="H522" s="18">
        <v>120994.24840000001</v>
      </c>
      <c r="I522" s="18">
        <v>5367.0111999999999</v>
      </c>
      <c r="J522" s="18"/>
      <c r="K522" s="18"/>
      <c r="L522" s="88">
        <f>SUM(F522:K522)</f>
        <v>157965.1508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59258.0052</v>
      </c>
      <c r="G523" s="18">
        <v>10651</v>
      </c>
      <c r="H523" s="18">
        <v>164500.79639999999</v>
      </c>
      <c r="I523" s="18">
        <v>12075.7752</v>
      </c>
      <c r="J523" s="18"/>
      <c r="K523" s="18"/>
      <c r="L523" s="88">
        <f>SUM(F523:K523)</f>
        <v>246485.57680000001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164605.57</v>
      </c>
      <c r="G524" s="89">
        <f t="shared" ref="G524:L524" si="37">SUM(G521:G523)</f>
        <v>30520</v>
      </c>
      <c r="H524" s="89">
        <f t="shared" si="37"/>
        <v>739694.63</v>
      </c>
      <c r="I524" s="89">
        <f t="shared" si="37"/>
        <v>33543.82</v>
      </c>
      <c r="J524" s="89">
        <f t="shared" si="37"/>
        <v>0</v>
      </c>
      <c r="K524" s="89">
        <f t="shared" si="37"/>
        <v>0</v>
      </c>
      <c r="L524" s="89">
        <f t="shared" si="37"/>
        <v>968364.0199999999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5600</v>
      </c>
      <c r="I526" s="18"/>
      <c r="J526" s="18"/>
      <c r="K526" s="18"/>
      <c r="L526" s="88">
        <f>SUM(F526:K526)</f>
        <v>5600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2500</v>
      </c>
      <c r="I527" s="18"/>
      <c r="J527" s="18"/>
      <c r="K527" s="18"/>
      <c r="L527" s="88">
        <f>SUM(F527:K527)</f>
        <v>2500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3256</v>
      </c>
      <c r="I528" s="18"/>
      <c r="J528" s="18"/>
      <c r="K528" s="18"/>
      <c r="L528" s="88">
        <f>SUM(F528:K528)</f>
        <v>3256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11356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11356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356844.73</v>
      </c>
      <c r="I531" s="18"/>
      <c r="J531" s="18"/>
      <c r="K531" s="18"/>
      <c r="L531" s="88">
        <f>SUM(F531:K531)</f>
        <v>356844.73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95242.33</v>
      </c>
      <c r="I532" s="18"/>
      <c r="J532" s="18"/>
      <c r="K532" s="18"/>
      <c r="L532" s="88">
        <f>SUM(F532:K532)</f>
        <v>95242.33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516112.98</v>
      </c>
      <c r="I533" s="18"/>
      <c r="J533" s="18"/>
      <c r="K533" s="18"/>
      <c r="L533" s="88">
        <f>SUM(F533:K533)</f>
        <v>516112.98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968200.04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968200.04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8508240.0700000003</v>
      </c>
      <c r="G535" s="89">
        <f t="shared" ref="G535:L535" si="40">G514+G519+G524+G529+G534</f>
        <v>3241147.6800000006</v>
      </c>
      <c r="H535" s="89">
        <f t="shared" si="40"/>
        <v>5527613.79</v>
      </c>
      <c r="I535" s="89">
        <f t="shared" si="40"/>
        <v>65900.69</v>
      </c>
      <c r="J535" s="89">
        <f t="shared" si="40"/>
        <v>0</v>
      </c>
      <c r="K535" s="89">
        <f t="shared" si="40"/>
        <v>0</v>
      </c>
      <c r="L535" s="89">
        <f t="shared" si="40"/>
        <v>17342902.23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6187422.1399999997</v>
      </c>
      <c r="G539" s="87">
        <f>L516</f>
        <v>1054090.26</v>
      </c>
      <c r="H539" s="87">
        <f>L521</f>
        <v>563913.29239999992</v>
      </c>
      <c r="I539" s="87">
        <f>L526</f>
        <v>5600</v>
      </c>
      <c r="J539" s="87">
        <f>L531</f>
        <v>356844.73</v>
      </c>
      <c r="K539" s="87">
        <f>SUM(F539:J539)</f>
        <v>8167870.4223999996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1877845.47</v>
      </c>
      <c r="G540" s="87">
        <f>L517</f>
        <v>267309.44</v>
      </c>
      <c r="H540" s="87">
        <f>L522</f>
        <v>157965.1508</v>
      </c>
      <c r="I540" s="87">
        <f>L527</f>
        <v>2500</v>
      </c>
      <c r="J540" s="87">
        <f>L532</f>
        <v>95242.33</v>
      </c>
      <c r="K540" s="87">
        <f>SUM(F540:J540)</f>
        <v>2400862.3908000002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5977287.1600000001</v>
      </c>
      <c r="G541" s="87">
        <f>L518</f>
        <v>31027.7</v>
      </c>
      <c r="H541" s="87">
        <f>L523</f>
        <v>246485.57680000001</v>
      </c>
      <c r="I541" s="87">
        <f>L528</f>
        <v>3256</v>
      </c>
      <c r="J541" s="87">
        <f>L533</f>
        <v>516112.98</v>
      </c>
      <c r="K541" s="87">
        <f>SUM(F541:J541)</f>
        <v>6774169.4167999998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14042554.77</v>
      </c>
      <c r="G542" s="89">
        <f t="shared" si="41"/>
        <v>1352427.4</v>
      </c>
      <c r="H542" s="89">
        <f t="shared" si="41"/>
        <v>968364.0199999999</v>
      </c>
      <c r="I542" s="89">
        <f t="shared" si="41"/>
        <v>11356</v>
      </c>
      <c r="J542" s="89">
        <f t="shared" si="41"/>
        <v>968200.04</v>
      </c>
      <c r="K542" s="89">
        <f t="shared" si="41"/>
        <v>17342902.23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147155.51999999999</v>
      </c>
      <c r="G557" s="18">
        <v>29431</v>
      </c>
      <c r="H557" s="18">
        <v>5132.7299999999996</v>
      </c>
      <c r="I557" s="18"/>
      <c r="J557" s="18"/>
      <c r="K557" s="18"/>
      <c r="L557" s="88">
        <f>SUM(F557:K557)</f>
        <v>181719.25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49051.839999999997</v>
      </c>
      <c r="G558" s="18">
        <v>8610</v>
      </c>
      <c r="H558" s="18">
        <v>3204.67</v>
      </c>
      <c r="I558" s="18"/>
      <c r="J558" s="18"/>
      <c r="K558" s="18"/>
      <c r="L558" s="88">
        <f>SUM(F558:K558)</f>
        <v>60866.509999999995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110366.64</v>
      </c>
      <c r="G559" s="18">
        <v>22073.200000000001</v>
      </c>
      <c r="H559" s="18">
        <v>13421.12</v>
      </c>
      <c r="I559" s="18"/>
      <c r="J559" s="18"/>
      <c r="K559" s="18"/>
      <c r="L559" s="88">
        <f>SUM(F559:K559)</f>
        <v>145860.96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306574</v>
      </c>
      <c r="G560" s="194">
        <f t="shared" ref="G560:L560" si="44">SUM(G557:G559)</f>
        <v>60114.2</v>
      </c>
      <c r="H560" s="194">
        <f t="shared" si="44"/>
        <v>21758.52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388446.71999999997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306574</v>
      </c>
      <c r="G561" s="89">
        <f t="shared" ref="G561:L561" si="45">G550+G555+G560</f>
        <v>60114.2</v>
      </c>
      <c r="H561" s="89">
        <f t="shared" si="45"/>
        <v>21758.52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388446.71999999997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2100</v>
      </c>
      <c r="I565" s="87">
        <f>SUM(F565:H565)</f>
        <v>2100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89841.42</v>
      </c>
      <c r="G570" s="18">
        <v>67304.25</v>
      </c>
      <c r="H570" s="18">
        <v>1129925.17</v>
      </c>
      <c r="I570" s="87">
        <f t="shared" si="46"/>
        <v>1287070.8399999999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100041.85</v>
      </c>
      <c r="G572" s="18">
        <v>91979.35</v>
      </c>
      <c r="H572" s="18">
        <v>1700935.57</v>
      </c>
      <c r="I572" s="87">
        <f t="shared" si="46"/>
        <v>1892956.77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33631.519999999997</v>
      </c>
      <c r="I574" s="87">
        <f t="shared" si="46"/>
        <v>33631.519999999997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756239.93</v>
      </c>
      <c r="I581" s="18">
        <v>259654.95</v>
      </c>
      <c r="J581" s="18">
        <v>585002.46</v>
      </c>
      <c r="K581" s="104">
        <f t="shared" ref="K581:K587" si="47">SUM(H581:J581)</f>
        <v>1600897.34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381045.46</v>
      </c>
      <c r="I582" s="18">
        <v>95242.33</v>
      </c>
      <c r="J582" s="18">
        <v>516112.98</v>
      </c>
      <c r="K582" s="104">
        <f t="shared" si="47"/>
        <v>992400.77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136466.44</v>
      </c>
      <c r="K583" s="104">
        <f t="shared" si="47"/>
        <v>136466.44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11300.26</v>
      </c>
      <c r="J584" s="18">
        <v>81572.960000000006</v>
      </c>
      <c r="K584" s="104">
        <f t="shared" si="47"/>
        <v>92873.22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30061.42</v>
      </c>
      <c r="I585" s="18">
        <v>12402.74</v>
      </c>
      <c r="J585" s="18">
        <v>16065.74</v>
      </c>
      <c r="K585" s="104">
        <f t="shared" si="47"/>
        <v>58529.899999999994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1167346.81</v>
      </c>
      <c r="I588" s="108">
        <f>SUM(I581:I587)</f>
        <v>378600.28</v>
      </c>
      <c r="J588" s="108">
        <f>SUM(J581:J587)</f>
        <v>1335220.5799999998</v>
      </c>
      <c r="K588" s="108">
        <f>SUM(K581:K587)</f>
        <v>2881167.6700000004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5249.05</v>
      </c>
      <c r="I593" s="18">
        <v>1749.68</v>
      </c>
      <c r="J593" s="18">
        <v>3936.78</v>
      </c>
      <c r="K593" s="104">
        <f>SUM(H593:J593)</f>
        <v>10935.51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187060.56</v>
      </c>
      <c r="I594" s="18">
        <v>29845.19</v>
      </c>
      <c r="J594" s="18">
        <v>75594.44</v>
      </c>
      <c r="K594" s="104">
        <f>SUM(H594:J594)</f>
        <v>292500.19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192309.61</v>
      </c>
      <c r="I595" s="108">
        <f>SUM(I592:I594)</f>
        <v>31594.87</v>
      </c>
      <c r="J595" s="108">
        <f>SUM(J592:J594)</f>
        <v>79531.22</v>
      </c>
      <c r="K595" s="108">
        <f>SUM(K592:K594)</f>
        <v>303435.7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49600</v>
      </c>
      <c r="G603" s="18">
        <v>8720</v>
      </c>
      <c r="H603" s="18"/>
      <c r="I603" s="18">
        <v>765</v>
      </c>
      <c r="J603" s="18"/>
      <c r="K603" s="18"/>
      <c r="L603" s="88">
        <f>SUM(F603:K603)</f>
        <v>59085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49600</v>
      </c>
      <c r="G604" s="108">
        <f t="shared" si="48"/>
        <v>8720</v>
      </c>
      <c r="H604" s="108">
        <f t="shared" si="48"/>
        <v>0</v>
      </c>
      <c r="I604" s="108">
        <f t="shared" si="48"/>
        <v>765</v>
      </c>
      <c r="J604" s="108">
        <f t="shared" si="48"/>
        <v>0</v>
      </c>
      <c r="K604" s="108">
        <f t="shared" si="48"/>
        <v>0</v>
      </c>
      <c r="L604" s="89">
        <f t="shared" si="48"/>
        <v>59085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3738684.4700000007</v>
      </c>
      <c r="H607" s="109">
        <f>SUM(F44)</f>
        <v>3738684.4699999997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17456.07</v>
      </c>
      <c r="H608" s="109">
        <f>SUM(G44)</f>
        <v>17456.07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-88414.43</v>
      </c>
      <c r="H609" s="109">
        <f>SUM(H44)</f>
        <v>-88414.430000000008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1087896.8500000001</v>
      </c>
      <c r="H611" s="109">
        <f>SUM(J44)</f>
        <v>1087896.8500000001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3558957.1399999997</v>
      </c>
      <c r="H612" s="109">
        <f>F466</f>
        <v>3558957.1399999931</v>
      </c>
      <c r="I612" s="121" t="s">
        <v>106</v>
      </c>
      <c r="J612" s="109">
        <f t="shared" ref="J612:J645" si="49">G612-H612</f>
        <v>6.5192580223083496E-9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-89356.97</v>
      </c>
      <c r="H614" s="109">
        <f>H466</f>
        <v>-89356.969999999739</v>
      </c>
      <c r="I614" s="121" t="s">
        <v>110</v>
      </c>
      <c r="J614" s="109">
        <f t="shared" si="49"/>
        <v>-2.6193447411060333E-10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1087896.8500000001</v>
      </c>
      <c r="H616" s="109">
        <f>J466</f>
        <v>1087896.8499999999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58449649.510000005</v>
      </c>
      <c r="H617" s="104">
        <f>SUM(F458)</f>
        <v>58449649.509999998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1390584.16</v>
      </c>
      <c r="H618" s="104">
        <f>SUM(G458)</f>
        <v>1390584.16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1324865.1000000001</v>
      </c>
      <c r="H619" s="104">
        <f>SUM(H458)</f>
        <v>1324865.1000000001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153539.78</v>
      </c>
      <c r="H621" s="104">
        <f>SUM(J458)</f>
        <v>153539.78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58136159.68</v>
      </c>
      <c r="H622" s="104">
        <f>SUM(F462)</f>
        <v>58136159.68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1406498.91</v>
      </c>
      <c r="H623" s="104">
        <f>SUM(H462)</f>
        <v>1406498.91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746641.77</v>
      </c>
      <c r="H624" s="104">
        <f>I361</f>
        <v>746641.77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1390584.1600000001</v>
      </c>
      <c r="H625" s="104">
        <f>SUM(G462)</f>
        <v>1390584.16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153539.78</v>
      </c>
      <c r="H627" s="164">
        <f>SUM(J458)</f>
        <v>153539.78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1087896.8500000001</v>
      </c>
      <c r="H629" s="104">
        <f>SUM(F451)</f>
        <v>1087896.8500000001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1087896.8500000001</v>
      </c>
      <c r="H632" s="104">
        <f>SUM(I451)</f>
        <v>1087896.8500000001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3539.78</v>
      </c>
      <c r="H634" s="104">
        <f>H400</f>
        <v>3539.78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150000</v>
      </c>
      <c r="H635" s="104">
        <f>G400</f>
        <v>150000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153539.78</v>
      </c>
      <c r="H636" s="104">
        <f>L400</f>
        <v>153539.78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2881167.6700000004</v>
      </c>
      <c r="H637" s="104">
        <f>L200+L218+L236</f>
        <v>2881167.67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303435.7</v>
      </c>
      <c r="H638" s="104">
        <f>(J249+J330)-(J247+J328)</f>
        <v>303435.7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1167346.81</v>
      </c>
      <c r="H639" s="104">
        <f>H588</f>
        <v>1167346.81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378600.27999999997</v>
      </c>
      <c r="H640" s="104">
        <f>I588</f>
        <v>378600.28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1335220.58</v>
      </c>
      <c r="H641" s="104">
        <f>J588</f>
        <v>1335220.5799999998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25984.61</v>
      </c>
      <c r="H642" s="104">
        <f>K255+K337</f>
        <v>25984.61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150000</v>
      </c>
      <c r="H645" s="104">
        <f>K258+K339</f>
        <v>150000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26755530.949999999</v>
      </c>
      <c r="G650" s="19">
        <f>(L221+L301+L351)</f>
        <v>9103304.4500000011</v>
      </c>
      <c r="H650" s="19">
        <f>(L239+L320+L352)</f>
        <v>22282708.77</v>
      </c>
      <c r="I650" s="19">
        <f>SUM(F650:H650)</f>
        <v>58141544.170000002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537886.94480275933</v>
      </c>
      <c r="G651" s="19">
        <f>(L351/IF(SUM(L350:L352)=0,1,SUM(L350:L352))*(SUM(G89:G102)))</f>
        <v>189365.07098813291</v>
      </c>
      <c r="H651" s="19">
        <f>(L352/IF(SUM(L350:L352)=0,1,SUM(L350:L352))*(SUM(G89:G102)))</f>
        <v>406323.62420910754</v>
      </c>
      <c r="I651" s="19">
        <f>SUM(F651:H651)</f>
        <v>1133575.6399999999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1167346.81</v>
      </c>
      <c r="G652" s="19">
        <f>(L218+L298)-(J218+J298)</f>
        <v>378600.27999999997</v>
      </c>
      <c r="H652" s="19">
        <f>(L236+L317)-(J236+J317)</f>
        <v>1335220.58</v>
      </c>
      <c r="I652" s="19">
        <f>SUM(F652:H652)</f>
        <v>2881167.67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382192.88</v>
      </c>
      <c r="G653" s="200">
        <f>SUM(G565:G577)+SUM(I592:I594)+L602</f>
        <v>190878.47</v>
      </c>
      <c r="H653" s="200">
        <f>SUM(H565:H577)+SUM(J592:J594)+L603</f>
        <v>3005208.4800000004</v>
      </c>
      <c r="I653" s="19">
        <f>SUM(F653:H653)</f>
        <v>3578279.8300000005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24668104.315197241</v>
      </c>
      <c r="G654" s="19">
        <f>G650-SUM(G651:G653)</f>
        <v>8344460.6290118685</v>
      </c>
      <c r="H654" s="19">
        <f>H650-SUM(H651:H653)</f>
        <v>17535956.085790891</v>
      </c>
      <c r="I654" s="19">
        <f>I650-SUM(I651:I653)</f>
        <v>50548521.030000001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2021.82</v>
      </c>
      <c r="G655" s="249">
        <v>697.58</v>
      </c>
      <c r="H655" s="249">
        <v>1492.4</v>
      </c>
      <c r="I655" s="19">
        <f>SUM(F655:H655)</f>
        <v>4211.8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12200.94</v>
      </c>
      <c r="G657" s="19">
        <f>ROUND(G654/G655,2)</f>
        <v>11962.01</v>
      </c>
      <c r="H657" s="19">
        <f>ROUND(H654/H655,2)</f>
        <v>11750.17</v>
      </c>
      <c r="I657" s="19">
        <f>ROUND(I654/I655,2)</f>
        <v>12001.64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-13.79</v>
      </c>
      <c r="I660" s="19">
        <f>SUM(F660:H660)</f>
        <v>-13.79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12200.94</v>
      </c>
      <c r="G662" s="19">
        <f>ROUND((G654+G659)/(G655+G660),2)</f>
        <v>11962.01</v>
      </c>
      <c r="H662" s="19">
        <f>ROUND((H654+H659)/(H655+H660),2)</f>
        <v>11859.76</v>
      </c>
      <c r="I662" s="19">
        <f>ROUND((I654+I659)/(I655+I660),2)</f>
        <v>12041.07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E49D-EB66-453B-9CF9-F5667B4175FA}">
  <sheetPr>
    <tabColor indexed="20"/>
  </sheetPr>
  <dimension ref="A1:C52"/>
  <sheetViews>
    <sheetView topLeftCell="A13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Merrimack SD</v>
      </c>
      <c r="C1" s="239" t="s">
        <v>873</v>
      </c>
    </row>
    <row r="2" spans="1:3" x14ac:dyDescent="0.2">
      <c r="A2" s="234"/>
      <c r="B2" s="233"/>
    </row>
    <row r="3" spans="1:3" x14ac:dyDescent="0.2">
      <c r="A3" s="272" t="s">
        <v>818</v>
      </c>
      <c r="B3" s="272"/>
      <c r="C3" s="272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4" t="s">
        <v>816</v>
      </c>
      <c r="C7" s="275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15068153.399999999</v>
      </c>
      <c r="C9" s="230">
        <f>'DOE25'!G189+'DOE25'!G207+'DOE25'!G225+'DOE25'!G268+'DOE25'!G287+'DOE25'!G306</f>
        <v>6984053.2200000007</v>
      </c>
    </row>
    <row r="10" spans="1:3" x14ac:dyDescent="0.2">
      <c r="A10" t="s">
        <v>813</v>
      </c>
      <c r="B10" s="241">
        <v>14962424.689999999</v>
      </c>
      <c r="C10" s="241">
        <v>6973481.2199999997</v>
      </c>
    </row>
    <row r="11" spans="1:3" x14ac:dyDescent="0.2">
      <c r="A11" t="s">
        <v>814</v>
      </c>
      <c r="B11" s="241">
        <v>105728.71</v>
      </c>
      <c r="C11" s="241">
        <v>10572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15068153.4</v>
      </c>
      <c r="C13" s="232">
        <f>SUM(C10:C12)</f>
        <v>6984053.2199999997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4" t="s">
        <v>738</v>
      </c>
      <c r="C16" s="275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7116428.3000000007</v>
      </c>
      <c r="C18" s="230">
        <f>'DOE25'!G190+'DOE25'!G208+'DOE25'!G226+'DOE25'!G269+'DOE25'!G288+'DOE25'!G307</f>
        <v>3085406.48</v>
      </c>
    </row>
    <row r="19" spans="1:3" x14ac:dyDescent="0.2">
      <c r="A19" t="s">
        <v>813</v>
      </c>
      <c r="B19" s="241">
        <f>3112769+228636.38</f>
        <v>3341405.38</v>
      </c>
      <c r="C19" s="241">
        <v>1696973.56</v>
      </c>
    </row>
    <row r="20" spans="1:3" x14ac:dyDescent="0.2">
      <c r="A20" t="s">
        <v>814</v>
      </c>
      <c r="B20" s="241">
        <v>3775022.92</v>
      </c>
      <c r="C20" s="241">
        <v>1388432.92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7116428.2999999998</v>
      </c>
      <c r="C22" s="232">
        <f>SUM(C19:C21)</f>
        <v>3085406.48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4" t="s">
        <v>739</v>
      </c>
      <c r="C25" s="275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4" t="s">
        <v>740</v>
      </c>
      <c r="C34" s="275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357274.84</v>
      </c>
      <c r="C36" s="236">
        <f>'DOE25'!G192+'DOE25'!G210+'DOE25'!G228+'DOE25'!G271+'DOE25'!G290+'DOE25'!G309</f>
        <v>172510.81</v>
      </c>
    </row>
    <row r="37" spans="1:3" x14ac:dyDescent="0.2">
      <c r="A37" t="s">
        <v>813</v>
      </c>
      <c r="B37" s="241">
        <v>357274.84</v>
      </c>
      <c r="C37" s="241">
        <v>172510.81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357274.84</v>
      </c>
      <c r="C40" s="232">
        <f>SUM(C37:C39)</f>
        <v>172510.81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06A2-6B67-4E93-BCA3-0C62FB147CC1}">
  <sheetPr>
    <tabColor indexed="11"/>
  </sheetPr>
  <dimension ref="A1:I51"/>
  <sheetViews>
    <sheetView workbookViewId="0">
      <pane ySplit="4" topLeftCell="A11" activePane="bottomLeft" state="frozen"/>
      <selection pane="bottomLeft" activeCell="I51" sqref="I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Merrimack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37458710.5</v>
      </c>
      <c r="D5" s="20">
        <f>SUM('DOE25'!L189:L192)+SUM('DOE25'!L207:L210)+SUM('DOE25'!L225:L228)-F5-G5</f>
        <v>37294736.219999999</v>
      </c>
      <c r="E5" s="244"/>
      <c r="F5" s="256">
        <f>SUM('DOE25'!J189:J192)+SUM('DOE25'!J207:J210)+SUM('DOE25'!J225:J228)</f>
        <v>152579.21000000002</v>
      </c>
      <c r="G5" s="53">
        <f>SUM('DOE25'!K189:K192)+SUM('DOE25'!K207:K210)+SUM('DOE25'!K225:K228)</f>
        <v>11395.07</v>
      </c>
      <c r="H5" s="260"/>
    </row>
    <row r="6" spans="1:9" x14ac:dyDescent="0.2">
      <c r="A6" s="32">
        <v>2100</v>
      </c>
      <c r="B6" t="s">
        <v>835</v>
      </c>
      <c r="C6" s="246">
        <f t="shared" si="0"/>
        <v>4170027.92</v>
      </c>
      <c r="D6" s="20">
        <f>'DOE25'!L194+'DOE25'!L212+'DOE25'!L230-F6-G6</f>
        <v>4169497.13</v>
      </c>
      <c r="E6" s="244"/>
      <c r="F6" s="256">
        <f>'DOE25'!J194+'DOE25'!J212+'DOE25'!J230</f>
        <v>178.95</v>
      </c>
      <c r="G6" s="53">
        <f>'DOE25'!K194+'DOE25'!K212+'DOE25'!K230</f>
        <v>351.84</v>
      </c>
      <c r="H6" s="260"/>
    </row>
    <row r="7" spans="1:9" x14ac:dyDescent="0.2">
      <c r="A7" s="32">
        <v>2200</v>
      </c>
      <c r="B7" t="s">
        <v>868</v>
      </c>
      <c r="C7" s="246">
        <f t="shared" si="0"/>
        <v>1648472.7499999998</v>
      </c>
      <c r="D7" s="20">
        <f>'DOE25'!L195+'DOE25'!L213+'DOE25'!L231-F7-G7</f>
        <v>1522768.41</v>
      </c>
      <c r="E7" s="244"/>
      <c r="F7" s="256">
        <f>'DOE25'!J195+'DOE25'!J213+'DOE25'!J231</f>
        <v>113302.89000000001</v>
      </c>
      <c r="G7" s="53">
        <f>'DOE25'!K195+'DOE25'!K213+'DOE25'!K231</f>
        <v>12401.45</v>
      </c>
      <c r="H7" s="260"/>
    </row>
    <row r="8" spans="1:9" x14ac:dyDescent="0.2">
      <c r="A8" s="32">
        <v>2300</v>
      </c>
      <c r="B8" t="s">
        <v>836</v>
      </c>
      <c r="C8" s="246">
        <f t="shared" si="0"/>
        <v>757282.66999999981</v>
      </c>
      <c r="D8" s="244"/>
      <c r="E8" s="20">
        <f>'DOE25'!L196+'DOE25'!L214+'DOE25'!L232-F8-G8-D9-D11</f>
        <v>716801.32999999984</v>
      </c>
      <c r="F8" s="256">
        <f>'DOE25'!J196+'DOE25'!J214+'DOE25'!J232</f>
        <v>20508.259999999998</v>
      </c>
      <c r="G8" s="53">
        <f>'DOE25'!K196+'DOE25'!K214+'DOE25'!K232</f>
        <v>19973.079999999998</v>
      </c>
      <c r="H8" s="260"/>
    </row>
    <row r="9" spans="1:9" x14ac:dyDescent="0.2">
      <c r="A9" s="32">
        <v>2310</v>
      </c>
      <c r="B9" t="s">
        <v>852</v>
      </c>
      <c r="C9" s="246">
        <f t="shared" si="0"/>
        <v>26502.33</v>
      </c>
      <c r="D9" s="245">
        <v>26502.33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37087</v>
      </c>
      <c r="D10" s="244"/>
      <c r="E10" s="245">
        <v>37087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574167</v>
      </c>
      <c r="D11" s="245">
        <v>574167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2957412.0999999996</v>
      </c>
      <c r="D12" s="20">
        <f>'DOE25'!L197+'DOE25'!L215+'DOE25'!L233-F12-G12</f>
        <v>2908412.36</v>
      </c>
      <c r="E12" s="244"/>
      <c r="F12" s="256">
        <f>'DOE25'!J197+'DOE25'!J215+'DOE25'!J233</f>
        <v>5930.88</v>
      </c>
      <c r="G12" s="53">
        <f>'DOE25'!K197+'DOE25'!K215+'DOE25'!K233</f>
        <v>43068.86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537436.02</v>
      </c>
      <c r="D13" s="244"/>
      <c r="E13" s="20">
        <f>'DOE25'!L198+'DOE25'!L216+'DOE25'!L234-F13-G13</f>
        <v>533383.92000000004</v>
      </c>
      <c r="F13" s="256">
        <f>'DOE25'!J198+'DOE25'!J216+'DOE25'!J234</f>
        <v>0</v>
      </c>
      <c r="G13" s="53">
        <f>'DOE25'!K198+'DOE25'!K216+'DOE25'!K234</f>
        <v>4052.1000000000004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4186478.0600000005</v>
      </c>
      <c r="D14" s="20">
        <f>'DOE25'!L199+'DOE25'!L217+'DOE25'!L235-F14-G14</f>
        <v>4175542.5500000007</v>
      </c>
      <c r="E14" s="244"/>
      <c r="F14" s="256">
        <f>'DOE25'!J199+'DOE25'!J217+'DOE25'!J235</f>
        <v>10935.51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2881167.67</v>
      </c>
      <c r="D15" s="20">
        <f>'DOE25'!L200+'DOE25'!L218+'DOE25'!L236-F15-G15</f>
        <v>2881167.67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146804.08000000002</v>
      </c>
      <c r="D16" s="244"/>
      <c r="E16" s="20">
        <f>'DOE25'!L201+'DOE25'!L219+'DOE25'!L237-F16-G16</f>
        <v>121824.39000000001</v>
      </c>
      <c r="F16" s="256">
        <f>'DOE25'!J201+'DOE25'!J219+'DOE25'!J237</f>
        <v>0</v>
      </c>
      <c r="G16" s="53">
        <f>'DOE25'!K201+'DOE25'!K219+'DOE25'!K237</f>
        <v>24979.69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7502.7</v>
      </c>
      <c r="D17" s="20">
        <f>'DOE25'!L243-F17-G17</f>
        <v>7502.7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474306.89</v>
      </c>
      <c r="D22" s="244"/>
      <c r="E22" s="244"/>
      <c r="F22" s="256">
        <f>'DOE25'!L247+'DOE25'!L328</f>
        <v>474306.89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2133904.38</v>
      </c>
      <c r="D25" s="244"/>
      <c r="E25" s="244"/>
      <c r="F25" s="259"/>
      <c r="G25" s="257"/>
      <c r="H25" s="258">
        <f>'DOE25'!L252+'DOE25'!L253+'DOE25'!L333+'DOE25'!L334</f>
        <v>2133904.38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715963.04000000015</v>
      </c>
      <c r="D29" s="20">
        <f>'DOE25'!L350+'DOE25'!L351+'DOE25'!L352-'DOE25'!I359-F29-G29</f>
        <v>686723.28000000014</v>
      </c>
      <c r="E29" s="244"/>
      <c r="F29" s="256">
        <f>'DOE25'!J350+'DOE25'!J351+'DOE25'!J352</f>
        <v>29239.760000000002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1406498.91</v>
      </c>
      <c r="D31" s="20">
        <f>'DOE25'!L282+'DOE25'!L301+'DOE25'!L320+'DOE25'!L325+'DOE25'!L326+'DOE25'!L327-F31-G31</f>
        <v>1406498.91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55653518.560000002</v>
      </c>
      <c r="E33" s="247">
        <f>SUM(E5:E31)</f>
        <v>1409096.6400000001</v>
      </c>
      <c r="F33" s="247">
        <f>SUM(F5:F31)</f>
        <v>806982.35000000009</v>
      </c>
      <c r="G33" s="247">
        <f>SUM(G5:G31)</f>
        <v>116222.09000000001</v>
      </c>
      <c r="H33" s="247">
        <f>SUM(H5:H31)</f>
        <v>2133904.38</v>
      </c>
    </row>
    <row r="35" spans="2:8" ht="12" thickBot="1" x14ac:dyDescent="0.25">
      <c r="B35" s="254" t="s">
        <v>881</v>
      </c>
      <c r="D35" s="255">
        <f>E33</f>
        <v>1409096.6400000001</v>
      </c>
      <c r="E35" s="250"/>
    </row>
    <row r="36" spans="2:8" ht="12" thickTop="1" x14ac:dyDescent="0.2">
      <c r="B36" t="s">
        <v>849</v>
      </c>
      <c r="D36" s="20">
        <f>D33</f>
        <v>55653518.560000002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210-932C-4BFD-9DFB-4D169CB3602B}">
  <sheetPr transitionEvaluation="1" codeName="Sheet2">
    <tabColor indexed="10"/>
  </sheetPr>
  <dimension ref="A1:I156"/>
  <sheetViews>
    <sheetView zoomScale="75" workbookViewId="0">
      <pane ySplit="2" topLeftCell="A12" activePane="bottomLeft" state="frozen"/>
      <selection pane="bottomLeft" activeCell="K112" sqref="K112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2575598.29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524913.49</v>
      </c>
      <c r="D12" s="95">
        <f>'DOE25'!G12</f>
        <v>17456.07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132946</v>
      </c>
      <c r="D13" s="95">
        <f>'DOE25'!G13</f>
        <v>0</v>
      </c>
      <c r="E13" s="95">
        <f>'DOE25'!H13</f>
        <v>-88414.43</v>
      </c>
      <c r="F13" s="95">
        <f>'DOE25'!I13</f>
        <v>0</v>
      </c>
      <c r="G13" s="95">
        <f>'DOE25'!J13</f>
        <v>1087896.8500000001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171903.49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333323.2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3738684.4700000007</v>
      </c>
      <c r="D19" s="41">
        <f>SUM(D9:D18)</f>
        <v>17456.07</v>
      </c>
      <c r="E19" s="41">
        <f>SUM(E9:E18)</f>
        <v>-88414.43</v>
      </c>
      <c r="F19" s="41">
        <f>SUM(F9:F18)</f>
        <v>0</v>
      </c>
      <c r="G19" s="41">
        <f>SUM(G9:G18)</f>
        <v>1087896.8500000001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17456.07</v>
      </c>
      <c r="E22" s="95">
        <f>'DOE25'!H23</f>
        <v>942.54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37626.33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142101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179727.33000000002</v>
      </c>
      <c r="D32" s="41">
        <f>SUM(D22:D31)</f>
        <v>17456.07</v>
      </c>
      <c r="E32" s="41">
        <f>SUM(E22:E31)</f>
        <v>942.54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40777.230000000003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520.07000000000005</v>
      </c>
      <c r="D40" s="95">
        <f>'DOE25'!G41</f>
        <v>0</v>
      </c>
      <c r="E40" s="95">
        <f>'DOE25'!H41</f>
        <v>-89356.97</v>
      </c>
      <c r="F40" s="95">
        <f>'DOE25'!I41</f>
        <v>0</v>
      </c>
      <c r="G40" s="95">
        <f>'DOE25'!J41</f>
        <v>1087896.8500000001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3517659.84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3558957.1399999997</v>
      </c>
      <c r="D42" s="41">
        <f>SUM(D34:D41)</f>
        <v>0</v>
      </c>
      <c r="E42" s="41">
        <f>SUM(E34:E41)</f>
        <v>-89356.97</v>
      </c>
      <c r="F42" s="41">
        <f>SUM(F34:F41)</f>
        <v>0</v>
      </c>
      <c r="G42" s="41">
        <f>SUM(G34:G41)</f>
        <v>1087896.8500000001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3738684.4699999997</v>
      </c>
      <c r="D43" s="41">
        <f>D42+D32</f>
        <v>17456.07</v>
      </c>
      <c r="E43" s="41">
        <f>E42+E32</f>
        <v>-88414.430000000008</v>
      </c>
      <c r="F43" s="41">
        <f>F42+F32</f>
        <v>0</v>
      </c>
      <c r="G43" s="41">
        <f>G42+G32</f>
        <v>1087896.8500000001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38083596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327673.78999999998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42982.14</v>
      </c>
      <c r="D51" s="95">
        <f>'DOE25'!G88</f>
        <v>12539</v>
      </c>
      <c r="E51" s="95">
        <f>'DOE25'!H88</f>
        <v>0</v>
      </c>
      <c r="F51" s="95">
        <f>'DOE25'!I88</f>
        <v>0</v>
      </c>
      <c r="G51" s="95">
        <f>'DOE25'!J88</f>
        <v>3539.78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1133575.6399999999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64733.63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435389.56</v>
      </c>
      <c r="D54" s="130">
        <f>SUM(D49:D53)</f>
        <v>1146114.6399999999</v>
      </c>
      <c r="E54" s="130">
        <f>SUM(E49:E53)</f>
        <v>0</v>
      </c>
      <c r="F54" s="130">
        <f>SUM(F49:F53)</f>
        <v>0</v>
      </c>
      <c r="G54" s="130">
        <f>SUM(G49:G53)</f>
        <v>3539.78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38518985.560000002</v>
      </c>
      <c r="D55" s="22">
        <f>D48+D54</f>
        <v>1146114.6399999999</v>
      </c>
      <c r="E55" s="22">
        <f>E48+E54</f>
        <v>0</v>
      </c>
      <c r="F55" s="22">
        <f>F48+F54</f>
        <v>0</v>
      </c>
      <c r="G55" s="22">
        <f>G48+G54</f>
        <v>3539.78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7462656.9400000004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6833660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2863189.06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17159506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506174.3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1364745.59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8099.12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73790.039999999994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1879019.0100000002</v>
      </c>
      <c r="D70" s="130">
        <f>SUM(D64:D69)</f>
        <v>73790.039999999994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19038525.010000002</v>
      </c>
      <c r="D73" s="130">
        <f>SUM(D71:D72)+D70+D62</f>
        <v>73790.039999999994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102596.89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758863.54</v>
      </c>
      <c r="D80" s="95">
        <f>SUM('DOE25'!G145:G153)</f>
        <v>144694.87</v>
      </c>
      <c r="E80" s="95">
        <f>SUM('DOE25'!H145:H153)</f>
        <v>1222268.21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758863.54</v>
      </c>
      <c r="D83" s="131">
        <f>SUM(D77:D82)</f>
        <v>144694.87</v>
      </c>
      <c r="E83" s="131">
        <f>SUM(E77:E82)</f>
        <v>1324865.0999999999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25984.61</v>
      </c>
      <c r="E88" s="95">
        <f>'DOE25'!H171</f>
        <v>0</v>
      </c>
      <c r="F88" s="95">
        <f>'DOE25'!I171</f>
        <v>0</v>
      </c>
      <c r="G88" s="95">
        <f>'DOE25'!J171</f>
        <v>150000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133275.4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133275.4</v>
      </c>
      <c r="D95" s="86">
        <f>SUM(D85:D94)</f>
        <v>25984.61</v>
      </c>
      <c r="E95" s="86">
        <f>SUM(E85:E94)</f>
        <v>0</v>
      </c>
      <c r="F95" s="86">
        <f>SUM(F85:F94)</f>
        <v>0</v>
      </c>
      <c r="G95" s="86">
        <f>SUM(G85:G94)</f>
        <v>150000</v>
      </c>
    </row>
    <row r="96" spans="1:7" ht="12.75" thickTop="1" thickBot="1" x14ac:dyDescent="0.25">
      <c r="A96" s="33" t="s">
        <v>797</v>
      </c>
      <c r="C96" s="86">
        <f>C55+C73+C83+C95</f>
        <v>58449649.510000005</v>
      </c>
      <c r="D96" s="86">
        <f>D55+D73+D83+D95</f>
        <v>1390584.16</v>
      </c>
      <c r="E96" s="86">
        <f>E55+E73+E83+E95</f>
        <v>1324865.0999999999</v>
      </c>
      <c r="F96" s="86">
        <f>F55+F73+F83+F95</f>
        <v>0</v>
      </c>
      <c r="G96" s="86">
        <f>G55+G73+G95</f>
        <v>153539.78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23079444.799999997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13626458.98</v>
      </c>
      <c r="D102" s="24" t="s">
        <v>312</v>
      </c>
      <c r="E102" s="95">
        <f>('DOE25'!L269)+('DOE25'!L288)+('DOE25'!L307)</f>
        <v>416095.79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33631.519999999997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719175.2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7502.7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37466213.20000001</v>
      </c>
      <c r="D107" s="86">
        <f>SUM(D101:D106)</f>
        <v>0</v>
      </c>
      <c r="E107" s="86">
        <f>SUM(E101:E106)</f>
        <v>416095.79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4170027.92</v>
      </c>
      <c r="D110" s="24" t="s">
        <v>312</v>
      </c>
      <c r="E110" s="95">
        <f>+('DOE25'!L273)+('DOE25'!L292)+('DOE25'!L311)</f>
        <v>620592.13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1648472.75</v>
      </c>
      <c r="D111" s="24" t="s">
        <v>312</v>
      </c>
      <c r="E111" s="95">
        <f>+('DOE25'!L274)+('DOE25'!L293)+('DOE25'!L312)</f>
        <v>236216.46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1357952</v>
      </c>
      <c r="D112" s="24" t="s">
        <v>312</v>
      </c>
      <c r="E112" s="95">
        <f>+('DOE25'!L275)+('DOE25'!L294)+('DOE25'!L313)</f>
        <v>30423.339999999997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2957412.0999999996</v>
      </c>
      <c r="D113" s="24" t="s">
        <v>312</v>
      </c>
      <c r="E113" s="95">
        <f>+('DOE25'!L276)+('DOE25'!L295)+('DOE25'!L314)</f>
        <v>103171.18999999999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537436.02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4186478.0600000005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2881167.67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146804.08000000002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1390584.1600000001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17885750.599999998</v>
      </c>
      <c r="D120" s="86">
        <f>SUM(D110:D119)</f>
        <v>1390584.1600000001</v>
      </c>
      <c r="E120" s="86">
        <f>SUM(E110:E119)</f>
        <v>990403.11999999988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474306.89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1385000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748904.38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25984.61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153539.78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-3539.7799999999988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2784195.88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58136159.680000015</v>
      </c>
      <c r="D137" s="86">
        <f>(D107+D120+D136)</f>
        <v>1390584.1600000001</v>
      </c>
      <c r="E137" s="86">
        <f>(E107+E120+E136)</f>
        <v>1406498.91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20</v>
      </c>
      <c r="D143" s="153">
        <f>'DOE25'!H480</f>
        <v>20</v>
      </c>
      <c r="E143" s="153">
        <f>'DOE25'!I480</f>
        <v>12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2/97</v>
      </c>
      <c r="C144" s="152" t="str">
        <f>'DOE25'!G481</f>
        <v>2/01</v>
      </c>
      <c r="D144" s="152" t="str">
        <f>'DOE25'!H481</f>
        <v>2/04</v>
      </c>
      <c r="E144" s="152" t="str">
        <f>'DOE25'!I481</f>
        <v>07/07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8/11</v>
      </c>
      <c r="C145" s="152" t="str">
        <f>'DOE25'!G482</f>
        <v>8/20</v>
      </c>
      <c r="D145" s="152" t="str">
        <f>'DOE25'!H482</f>
        <v>8/23</v>
      </c>
      <c r="E145" s="152" t="str">
        <f>'DOE25'!I482</f>
        <v>07/20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4737447</v>
      </c>
      <c r="C146" s="137">
        <f>'DOE25'!G483</f>
        <v>5915851</v>
      </c>
      <c r="D146" s="137">
        <f>'DOE25'!H483</f>
        <v>15525000</v>
      </c>
      <c r="E146" s="137">
        <f>'DOE25'!I483</f>
        <v>3675816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</v>
      </c>
      <c r="C147" s="137">
        <f>'DOE25'!G484</f>
        <v>5.31</v>
      </c>
      <c r="D147" s="137">
        <f>'DOE25'!H484</f>
        <v>3.52</v>
      </c>
      <c r="E147" s="137">
        <f>'DOE25'!I484</f>
        <v>4.4800000000000004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1260000</v>
      </c>
      <c r="C148" s="137">
        <f>'DOE25'!G485</f>
        <v>3540000</v>
      </c>
      <c r="D148" s="137">
        <f>'DOE25'!H485</f>
        <v>11625000</v>
      </c>
      <c r="E148" s="137">
        <f>'DOE25'!I485</f>
        <v>3329421.63</v>
      </c>
      <c r="F148" s="137">
        <f>'DOE25'!J485</f>
        <v>0</v>
      </c>
      <c r="G148" s="138">
        <f>SUM(B148:F148)</f>
        <v>19754421.629999999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315000</v>
      </c>
      <c r="C150" s="137">
        <f>'DOE25'!G487</f>
        <v>295000</v>
      </c>
      <c r="D150" s="137">
        <f>'DOE25'!H487</f>
        <v>780000</v>
      </c>
      <c r="E150" s="137">
        <f>'DOE25'!I487</f>
        <v>182138.91</v>
      </c>
      <c r="F150" s="137">
        <f>'DOE25'!J487</f>
        <v>0</v>
      </c>
      <c r="G150" s="138">
        <f t="shared" si="0"/>
        <v>1572138.91</v>
      </c>
    </row>
    <row r="151" spans="1:7" x14ac:dyDescent="0.2">
      <c r="A151" s="22" t="s">
        <v>35</v>
      </c>
      <c r="B151" s="137">
        <f>'DOE25'!F488</f>
        <v>945000</v>
      </c>
      <c r="C151" s="137">
        <f>'DOE25'!G488</f>
        <v>3245000</v>
      </c>
      <c r="D151" s="137">
        <f>'DOE25'!H488</f>
        <v>10850000</v>
      </c>
      <c r="E151" s="137">
        <f>'DOE25'!I488</f>
        <v>3147282.72</v>
      </c>
      <c r="F151" s="137">
        <f>'DOE25'!J488</f>
        <v>0</v>
      </c>
      <c r="G151" s="138">
        <f t="shared" si="0"/>
        <v>18187282.719999999</v>
      </c>
    </row>
    <row r="152" spans="1:7" x14ac:dyDescent="0.2">
      <c r="A152" s="22" t="s">
        <v>36</v>
      </c>
      <c r="B152" s="137">
        <f>'DOE25'!F489</f>
        <v>81427.5</v>
      </c>
      <c r="C152" s="137">
        <f>'DOE25'!G489</f>
        <v>877330</v>
      </c>
      <c r="D152" s="137">
        <f>'DOE25'!H489</f>
        <v>3448750</v>
      </c>
      <c r="E152" s="137">
        <f>'DOE25'!I489</f>
        <v>876557.06</v>
      </c>
      <c r="F152" s="137">
        <f>'DOE25'!J489</f>
        <v>0</v>
      </c>
      <c r="G152" s="138">
        <f t="shared" si="0"/>
        <v>5284064.5600000005</v>
      </c>
    </row>
    <row r="153" spans="1:7" x14ac:dyDescent="0.2">
      <c r="A153" s="22" t="s">
        <v>37</v>
      </c>
      <c r="B153" s="137">
        <f>'DOE25'!F490</f>
        <v>1026427.5</v>
      </c>
      <c r="C153" s="137">
        <f>'DOE25'!G490</f>
        <v>4122330</v>
      </c>
      <c r="D153" s="137">
        <f>'DOE25'!H490</f>
        <v>14298750</v>
      </c>
      <c r="E153" s="137">
        <f>'DOE25'!I490</f>
        <v>4023839.7800000003</v>
      </c>
      <c r="F153" s="137">
        <f>'DOE25'!J490</f>
        <v>0</v>
      </c>
      <c r="G153" s="138">
        <f t="shared" si="0"/>
        <v>23471347.280000001</v>
      </c>
    </row>
    <row r="154" spans="1:7" x14ac:dyDescent="0.2">
      <c r="A154" s="22" t="s">
        <v>38</v>
      </c>
      <c r="B154" s="137">
        <f>'DOE25'!F491</f>
        <v>315000</v>
      </c>
      <c r="C154" s="137">
        <f>'DOE25'!G491</f>
        <v>295000</v>
      </c>
      <c r="D154" s="137">
        <f>'DOE25'!H491</f>
        <v>775000</v>
      </c>
      <c r="E154" s="137">
        <f>'DOE25'!I491</f>
        <v>201903.98</v>
      </c>
      <c r="F154" s="137">
        <f>'DOE25'!J491</f>
        <v>0</v>
      </c>
      <c r="G154" s="138">
        <f t="shared" si="0"/>
        <v>1586903.98</v>
      </c>
    </row>
    <row r="155" spans="1:7" x14ac:dyDescent="0.2">
      <c r="A155" s="22" t="s">
        <v>39</v>
      </c>
      <c r="B155" s="137">
        <f>'DOE25'!F492</f>
        <v>45202.5</v>
      </c>
      <c r="C155" s="137">
        <f>'DOE25'!G492</f>
        <v>165347.5</v>
      </c>
      <c r="D155" s="137">
        <f>'DOE25'!H492</f>
        <v>484375</v>
      </c>
      <c r="E155" s="137">
        <f>'DOE25'!I492</f>
        <v>141102.15</v>
      </c>
      <c r="F155" s="137">
        <f>'DOE25'!J492</f>
        <v>0</v>
      </c>
      <c r="G155" s="138">
        <f t="shared" si="0"/>
        <v>836027.15</v>
      </c>
    </row>
    <row r="156" spans="1:7" x14ac:dyDescent="0.2">
      <c r="A156" s="22" t="s">
        <v>269</v>
      </c>
      <c r="B156" s="137">
        <f>'DOE25'!F493</f>
        <v>360202.5</v>
      </c>
      <c r="C156" s="137">
        <f>'DOE25'!G493</f>
        <v>460347.5</v>
      </c>
      <c r="D156" s="137">
        <f>'DOE25'!H493</f>
        <v>1259375</v>
      </c>
      <c r="E156" s="137">
        <f>'DOE25'!I493</f>
        <v>343006.13</v>
      </c>
      <c r="F156" s="137">
        <f>'DOE25'!J493</f>
        <v>0</v>
      </c>
      <c r="G156" s="138">
        <f t="shared" si="0"/>
        <v>2422931.13</v>
      </c>
    </row>
  </sheetData>
  <sheetProtection password="B70A" sheet="1" objects="1" scenarios="1"/>
  <phoneticPr fontId="0" type="noConversion"/>
  <printOptions gridLines="1" gridLinesSet="0"/>
  <pageMargins left="0.38" right="0.3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6B20-9C29-4A42-BF5A-581EE6C35F48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Merrimack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12201</v>
      </c>
    </row>
    <row r="5" spans="1:4" x14ac:dyDescent="0.2">
      <c r="B5" t="s">
        <v>735</v>
      </c>
      <c r="C5" s="179">
        <f>IF('DOE25'!G655+'DOE25'!G660=0,0,ROUND('DOE25'!G662,0))</f>
        <v>11962</v>
      </c>
    </row>
    <row r="6" spans="1:4" x14ac:dyDescent="0.2">
      <c r="B6" t="s">
        <v>62</v>
      </c>
      <c r="C6" s="179">
        <f>IF('DOE25'!H655+'DOE25'!H660=0,0,ROUND('DOE25'!H662,0))</f>
        <v>11860</v>
      </c>
    </row>
    <row r="7" spans="1:4" x14ac:dyDescent="0.2">
      <c r="B7" t="s">
        <v>736</v>
      </c>
      <c r="C7" s="179">
        <f>IF('DOE25'!I655+'DOE25'!I660=0,0,ROUND('DOE25'!I662,0))</f>
        <v>12041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23079445</v>
      </c>
      <c r="D10" s="182">
        <f>ROUND((C10/$C$28)*100,1)</f>
        <v>40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14042555</v>
      </c>
      <c r="D11" s="182">
        <f>ROUND((C11/$C$28)*100,1)</f>
        <v>24.3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33632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719175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4790620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1884689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1535179</v>
      </c>
      <c r="D17" s="182">
        <f t="shared" si="0"/>
        <v>2.7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3060583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537436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4186478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2881168</v>
      </c>
      <c r="D21" s="182">
        <f t="shared" si="0"/>
        <v>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7503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748904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257008.3600000001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57764375.359999999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474307</v>
      </c>
    </row>
    <row r="30" spans="1:4" x14ac:dyDescent="0.2">
      <c r="B30" s="187" t="s">
        <v>760</v>
      </c>
      <c r="C30" s="180">
        <f>SUM(C28:C29)</f>
        <v>58238682.359999999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1385000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38083596</v>
      </c>
      <c r="D35" s="182">
        <f t="shared" ref="D35:D40" si="1">ROUND((C35/$C$41)*100,1)</f>
        <v>63.6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451468.34000000358</v>
      </c>
      <c r="D36" s="182">
        <f t="shared" si="1"/>
        <v>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14296317</v>
      </c>
      <c r="D37" s="182">
        <f t="shared" si="1"/>
        <v>23.9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4815998</v>
      </c>
      <c r="D38" s="182">
        <f t="shared" si="1"/>
        <v>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2228424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59875803.340000004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8BB0-287E-40BA-B7DC-BBB66A87C28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Merrimack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893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2010-10-11T19:13:54Z</cp:lastPrinted>
  <dcterms:created xsi:type="dcterms:W3CDTF">1997-12-04T19:04:30Z</dcterms:created>
  <dcterms:modified xsi:type="dcterms:W3CDTF">2025-01-09T20:11:11Z</dcterms:modified>
</cp:coreProperties>
</file>