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60A824F-1D8D-4625-AA12-73271695E97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4D3308A5-BB17-4824-B3B2-79B6F5999BF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1" i="1" l="1"/>
  <c r="I581" i="1"/>
  <c r="J218" i="1"/>
  <c r="J236" i="1"/>
  <c r="J239" i="1" s="1"/>
  <c r="J200" i="1"/>
  <c r="F15" i="13" s="1"/>
  <c r="G462" i="1"/>
  <c r="G464" i="1" s="1"/>
  <c r="G458" i="1"/>
  <c r="H359" i="1"/>
  <c r="G359" i="1"/>
  <c r="F359" i="1"/>
  <c r="I352" i="1"/>
  <c r="L352" i="1" s="1"/>
  <c r="I351" i="1"/>
  <c r="I354" i="1" s="1"/>
  <c r="G624" i="1" s="1"/>
  <c r="J624" i="1" s="1"/>
  <c r="I350" i="1"/>
  <c r="F60" i="1"/>
  <c r="F71" i="1" s="1"/>
  <c r="C49" i="2" s="1"/>
  <c r="F2" i="11"/>
  <c r="B2" i="10"/>
  <c r="C37" i="10"/>
  <c r="C40" i="10"/>
  <c r="C42" i="10"/>
  <c r="A1" i="2"/>
  <c r="A2" i="2"/>
  <c r="C9" i="2"/>
  <c r="D9" i="2"/>
  <c r="D19" i="2" s="1"/>
  <c r="E9" i="2"/>
  <c r="E19" i="2" s="1"/>
  <c r="F9" i="2"/>
  <c r="F19" i="2" s="1"/>
  <c r="C10" i="2"/>
  <c r="D10" i="2"/>
  <c r="E10" i="2"/>
  <c r="F10" i="2"/>
  <c r="C11" i="2"/>
  <c r="C19" i="2" s="1"/>
  <c r="C12" i="2"/>
  <c r="D12" i="2"/>
  <c r="E12" i="2"/>
  <c r="F12" i="2"/>
  <c r="C13" i="2"/>
  <c r="D13" i="2"/>
  <c r="E13" i="2"/>
  <c r="F13" i="2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G18" i="2"/>
  <c r="C22" i="2"/>
  <c r="D22" i="2"/>
  <c r="E22" i="2"/>
  <c r="F22" i="2"/>
  <c r="C23" i="2"/>
  <c r="D23" i="2"/>
  <c r="D32" i="2" s="1"/>
  <c r="E23" i="2"/>
  <c r="F23" i="2"/>
  <c r="D24" i="2"/>
  <c r="E24" i="2"/>
  <c r="E32" i="2" s="1"/>
  <c r="F24" i="2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C34" i="2"/>
  <c r="D34" i="2"/>
  <c r="E34" i="2"/>
  <c r="E42" i="2" s="1"/>
  <c r="F34" i="2"/>
  <c r="F42" i="2" s="1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E40" i="2"/>
  <c r="F40" i="2"/>
  <c r="D41" i="2"/>
  <c r="E41" i="2"/>
  <c r="F41" i="2"/>
  <c r="D48" i="2"/>
  <c r="D55" i="2" s="1"/>
  <c r="F48" i="2"/>
  <c r="G48" i="2"/>
  <c r="C51" i="2"/>
  <c r="D51" i="2"/>
  <c r="D54" i="2" s="1"/>
  <c r="E51" i="2"/>
  <c r="G51" i="2"/>
  <c r="G54" i="2" s="1"/>
  <c r="G55" i="2" s="1"/>
  <c r="D52" i="2"/>
  <c r="C53" i="2"/>
  <c r="D53" i="2"/>
  <c r="E53" i="2"/>
  <c r="F53" i="2"/>
  <c r="G53" i="2"/>
  <c r="C58" i="2"/>
  <c r="C62" i="2" s="1"/>
  <c r="C59" i="2"/>
  <c r="C60" i="2"/>
  <c r="C61" i="2"/>
  <c r="D61" i="2"/>
  <c r="E61" i="2"/>
  <c r="E62" i="2" s="1"/>
  <c r="F61" i="2"/>
  <c r="F62" i="2" s="1"/>
  <c r="G61" i="2"/>
  <c r="D62" i="2"/>
  <c r="G62" i="2"/>
  <c r="G73" i="2" s="1"/>
  <c r="C64" i="2"/>
  <c r="C70" i="2" s="1"/>
  <c r="F64" i="2"/>
  <c r="C65" i="2"/>
  <c r="F65" i="2"/>
  <c r="C66" i="2"/>
  <c r="C67" i="2"/>
  <c r="C68" i="2"/>
  <c r="E68" i="2"/>
  <c r="F68" i="2"/>
  <c r="C69" i="2"/>
  <c r="D69" i="2"/>
  <c r="D70" i="2" s="1"/>
  <c r="D73" i="2" s="1"/>
  <c r="E69" i="2"/>
  <c r="E70" i="2" s="1"/>
  <c r="F69" i="2"/>
  <c r="G69" i="2"/>
  <c r="F70" i="2"/>
  <c r="G70" i="2"/>
  <c r="C71" i="2"/>
  <c r="D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D88" i="2"/>
  <c r="D95" i="2" s="1"/>
  <c r="D89" i="2"/>
  <c r="D90" i="2"/>
  <c r="D91" i="2"/>
  <c r="D92" i="2"/>
  <c r="D93" i="2"/>
  <c r="D94" i="2"/>
  <c r="C85" i="2"/>
  <c r="C95" i="2" s="1"/>
  <c r="F85" i="2"/>
  <c r="F95" i="2" s="1"/>
  <c r="C86" i="2"/>
  <c r="F86" i="2"/>
  <c r="E88" i="2"/>
  <c r="F88" i="2"/>
  <c r="G88" i="2"/>
  <c r="G95" i="2" s="1"/>
  <c r="C89" i="2"/>
  <c r="E89" i="2"/>
  <c r="E95" i="2" s="1"/>
  <c r="F89" i="2"/>
  <c r="G89" i="2"/>
  <c r="C90" i="2"/>
  <c r="E90" i="2"/>
  <c r="G90" i="2"/>
  <c r="C91" i="2"/>
  <c r="E91" i="2"/>
  <c r="F91" i="2"/>
  <c r="C92" i="2"/>
  <c r="E92" i="2"/>
  <c r="F92" i="2"/>
  <c r="C93" i="2"/>
  <c r="E93" i="2"/>
  <c r="F93" i="2"/>
  <c r="C94" i="2"/>
  <c r="E94" i="2"/>
  <c r="F94" i="2"/>
  <c r="D107" i="2"/>
  <c r="F107" i="2"/>
  <c r="F137" i="2" s="1"/>
  <c r="G107" i="2"/>
  <c r="E117" i="2"/>
  <c r="F120" i="2"/>
  <c r="G120" i="2"/>
  <c r="E122" i="2"/>
  <c r="F122" i="2"/>
  <c r="F136" i="2" s="1"/>
  <c r="F126" i="2"/>
  <c r="E123" i="2"/>
  <c r="D126" i="2"/>
  <c r="E127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B2" i="13"/>
  <c r="G5" i="13"/>
  <c r="F6" i="13"/>
  <c r="G6" i="13"/>
  <c r="F7" i="13"/>
  <c r="G7" i="13"/>
  <c r="F8" i="13"/>
  <c r="G8" i="13"/>
  <c r="C9" i="13"/>
  <c r="C10" i="13"/>
  <c r="C11" i="13"/>
  <c r="F12" i="13"/>
  <c r="G12" i="13"/>
  <c r="F13" i="13"/>
  <c r="G13" i="13"/>
  <c r="F14" i="13"/>
  <c r="G14" i="13"/>
  <c r="G15" i="13"/>
  <c r="F16" i="13"/>
  <c r="G16" i="13"/>
  <c r="E16" i="13"/>
  <c r="C16" i="13" s="1"/>
  <c r="F17" i="13"/>
  <c r="G17" i="13"/>
  <c r="F18" i="13"/>
  <c r="G18" i="13"/>
  <c r="F19" i="13"/>
  <c r="G19" i="13"/>
  <c r="D19" i="13"/>
  <c r="C19" i="13" s="1"/>
  <c r="F22" i="13"/>
  <c r="C22" i="13" s="1"/>
  <c r="F29" i="13"/>
  <c r="G29" i="13"/>
  <c r="D39" i="13"/>
  <c r="B1" i="12"/>
  <c r="B4" i="12"/>
  <c r="B9" i="12"/>
  <c r="A13" i="12" s="1"/>
  <c r="C9" i="12"/>
  <c r="B13" i="12"/>
  <c r="C13" i="12"/>
  <c r="B18" i="12"/>
  <c r="C18" i="12"/>
  <c r="B22" i="12"/>
  <c r="C22" i="12"/>
  <c r="B27" i="12"/>
  <c r="A31" i="12" s="1"/>
  <c r="C27" i="12"/>
  <c r="B31" i="12"/>
  <c r="C31" i="12"/>
  <c r="B36" i="12"/>
  <c r="C36" i="12"/>
  <c r="B40" i="12"/>
  <c r="C40" i="12"/>
  <c r="F10" i="1"/>
  <c r="J10" i="1"/>
  <c r="G10" i="2" s="1"/>
  <c r="J12" i="1"/>
  <c r="G12" i="2" s="1"/>
  <c r="J13" i="1"/>
  <c r="G13" i="2" s="1"/>
  <c r="F14" i="1"/>
  <c r="J14" i="1"/>
  <c r="G14" i="2" s="1"/>
  <c r="J17" i="1"/>
  <c r="G17" i="2" s="1"/>
  <c r="J18" i="1"/>
  <c r="F19" i="1"/>
  <c r="G607" i="1" s="1"/>
  <c r="G19" i="1"/>
  <c r="H19" i="1"/>
  <c r="I19" i="1"/>
  <c r="J23" i="1"/>
  <c r="G22" i="2" s="1"/>
  <c r="J24" i="1"/>
  <c r="G23" i="2" s="1"/>
  <c r="F25" i="1"/>
  <c r="F33" i="1" s="1"/>
  <c r="F30" i="1"/>
  <c r="C29" i="2" s="1"/>
  <c r="G33" i="1"/>
  <c r="H33" i="1"/>
  <c r="I33" i="1"/>
  <c r="G41" i="1"/>
  <c r="G43" i="1" s="1"/>
  <c r="I41" i="1"/>
  <c r="I43" i="1" s="1"/>
  <c r="G615" i="1" s="1"/>
  <c r="J615" i="1" s="1"/>
  <c r="F42" i="1"/>
  <c r="C41" i="2" s="1"/>
  <c r="C42" i="2" s="1"/>
  <c r="H43" i="1"/>
  <c r="H44" i="1"/>
  <c r="H609" i="1" s="1"/>
  <c r="J609" i="1" s="1"/>
  <c r="F49" i="1"/>
  <c r="F52" i="1"/>
  <c r="C48" i="2" s="1"/>
  <c r="G52" i="1"/>
  <c r="H52" i="1"/>
  <c r="E48" i="2" s="1"/>
  <c r="I52" i="1"/>
  <c r="J52" i="1"/>
  <c r="H71" i="1"/>
  <c r="E49" i="2" s="1"/>
  <c r="E54" i="2" s="1"/>
  <c r="F86" i="1"/>
  <c r="C50" i="2" s="1"/>
  <c r="H86" i="1"/>
  <c r="E50" i="2" s="1"/>
  <c r="F88" i="1"/>
  <c r="F103" i="1" s="1"/>
  <c r="I88" i="1"/>
  <c r="F51" i="2" s="1"/>
  <c r="F54" i="2" s="1"/>
  <c r="G89" i="1"/>
  <c r="H94" i="1"/>
  <c r="H102" i="1"/>
  <c r="G103" i="1"/>
  <c r="G104" i="1" s="1"/>
  <c r="H103" i="1"/>
  <c r="H104" i="1" s="1"/>
  <c r="I103" i="1"/>
  <c r="I104" i="1" s="1"/>
  <c r="J103" i="1"/>
  <c r="J104" i="1" s="1"/>
  <c r="J185" i="1" s="1"/>
  <c r="F113" i="1"/>
  <c r="G113" i="1"/>
  <c r="G132" i="1" s="1"/>
  <c r="H113" i="1"/>
  <c r="H132" i="1" s="1"/>
  <c r="I113" i="1"/>
  <c r="I132" i="1" s="1"/>
  <c r="J113" i="1"/>
  <c r="J132" i="1" s="1"/>
  <c r="F128" i="1"/>
  <c r="G128" i="1"/>
  <c r="H128" i="1"/>
  <c r="I128" i="1"/>
  <c r="J128" i="1"/>
  <c r="F132" i="1"/>
  <c r="F139" i="1"/>
  <c r="F161" i="1" s="1"/>
  <c r="G139" i="1"/>
  <c r="D77" i="2" s="1"/>
  <c r="D83" i="2" s="1"/>
  <c r="H139" i="1"/>
  <c r="E77" i="2" s="1"/>
  <c r="E83" i="2" s="1"/>
  <c r="I139" i="1"/>
  <c r="F77" i="2" s="1"/>
  <c r="F83" i="2" s="1"/>
  <c r="F154" i="1"/>
  <c r="G154" i="1"/>
  <c r="H154" i="1"/>
  <c r="H161" i="1" s="1"/>
  <c r="I154" i="1"/>
  <c r="I161" i="1"/>
  <c r="F169" i="1"/>
  <c r="F184" i="1" s="1"/>
  <c r="I169" i="1"/>
  <c r="I184" i="1" s="1"/>
  <c r="F175" i="1"/>
  <c r="G175" i="1"/>
  <c r="H175" i="1"/>
  <c r="H184" i="1" s="1"/>
  <c r="I175" i="1"/>
  <c r="J175" i="1"/>
  <c r="F180" i="1"/>
  <c r="G180" i="1"/>
  <c r="H180" i="1"/>
  <c r="I180" i="1"/>
  <c r="G184" i="1"/>
  <c r="J184" i="1"/>
  <c r="H189" i="1"/>
  <c r="H203" i="1" s="1"/>
  <c r="I189" i="1"/>
  <c r="I203" i="1" s="1"/>
  <c r="I249" i="1" s="1"/>
  <c r="I263" i="1" s="1"/>
  <c r="L189" i="1"/>
  <c r="H190" i="1"/>
  <c r="L190" i="1" s="1"/>
  <c r="L191" i="1"/>
  <c r="L192" i="1"/>
  <c r="C104" i="2" s="1"/>
  <c r="H194" i="1"/>
  <c r="L194" i="1"/>
  <c r="H195" i="1"/>
  <c r="L195" i="1" s="1"/>
  <c r="H196" i="1"/>
  <c r="L196" i="1"/>
  <c r="H197" i="1"/>
  <c r="L197" i="1"/>
  <c r="L198" i="1"/>
  <c r="E13" i="13" s="1"/>
  <c r="C13" i="13" s="1"/>
  <c r="H199" i="1"/>
  <c r="L199" i="1" s="1"/>
  <c r="H200" i="1"/>
  <c r="L200" i="1" s="1"/>
  <c r="L201" i="1"/>
  <c r="C117" i="2" s="1"/>
  <c r="F203" i="1"/>
  <c r="G203" i="1"/>
  <c r="J203" i="1"/>
  <c r="K203" i="1"/>
  <c r="K249" i="1" s="1"/>
  <c r="K263" i="1" s="1"/>
  <c r="H207" i="1"/>
  <c r="I207" i="1"/>
  <c r="J207" i="1"/>
  <c r="F5" i="13" s="1"/>
  <c r="H208" i="1"/>
  <c r="H221" i="1" s="1"/>
  <c r="L209" i="1"/>
  <c r="L210" i="1"/>
  <c r="H212" i="1"/>
  <c r="L212" i="1"/>
  <c r="H213" i="1"/>
  <c r="L213" i="1"/>
  <c r="H214" i="1"/>
  <c r="L214" i="1" s="1"/>
  <c r="H215" i="1"/>
  <c r="L215" i="1" s="1"/>
  <c r="L216" i="1"/>
  <c r="H217" i="1"/>
  <c r="L217" i="1" s="1"/>
  <c r="H218" i="1"/>
  <c r="L218" i="1"/>
  <c r="L219" i="1"/>
  <c r="F221" i="1"/>
  <c r="F249" i="1" s="1"/>
  <c r="F263" i="1" s="1"/>
  <c r="G221" i="1"/>
  <c r="G249" i="1" s="1"/>
  <c r="G263" i="1" s="1"/>
  <c r="I221" i="1"/>
  <c r="K221" i="1"/>
  <c r="H225" i="1"/>
  <c r="L225" i="1" s="1"/>
  <c r="H226" i="1"/>
  <c r="L226" i="1"/>
  <c r="L227" i="1"/>
  <c r="C103" i="2" s="1"/>
  <c r="H228" i="1"/>
  <c r="H239" i="1" s="1"/>
  <c r="L228" i="1"/>
  <c r="H230" i="1"/>
  <c r="L230" i="1" s="1"/>
  <c r="H231" i="1"/>
  <c r="L231" i="1" s="1"/>
  <c r="H232" i="1"/>
  <c r="L232" i="1" s="1"/>
  <c r="H233" i="1"/>
  <c r="L233" i="1" s="1"/>
  <c r="L234" i="1"/>
  <c r="H235" i="1"/>
  <c r="L235" i="1"/>
  <c r="H236" i="1"/>
  <c r="L236" i="1" s="1"/>
  <c r="G641" i="1" s="1"/>
  <c r="J641" i="1" s="1"/>
  <c r="L237" i="1"/>
  <c r="F239" i="1"/>
  <c r="G239" i="1"/>
  <c r="I239" i="1"/>
  <c r="K239" i="1"/>
  <c r="L242" i="1"/>
  <c r="C23" i="10" s="1"/>
  <c r="L243" i="1"/>
  <c r="L244" i="1"/>
  <c r="D18" i="13" s="1"/>
  <c r="C18" i="13" s="1"/>
  <c r="L245" i="1"/>
  <c r="L246" i="1"/>
  <c r="H247" i="1"/>
  <c r="L247" i="1"/>
  <c r="C122" i="2" s="1"/>
  <c r="F248" i="1"/>
  <c r="L248" i="1" s="1"/>
  <c r="G248" i="1"/>
  <c r="H248" i="1"/>
  <c r="I248" i="1"/>
  <c r="J248" i="1"/>
  <c r="K248" i="1"/>
  <c r="L252" i="1"/>
  <c r="C123" i="2" s="1"/>
  <c r="L253" i="1"/>
  <c r="C25" i="10" s="1"/>
  <c r="L255" i="1"/>
  <c r="C127" i="2" s="1"/>
  <c r="L256" i="1"/>
  <c r="C128" i="2" s="1"/>
  <c r="L257" i="1"/>
  <c r="C129" i="2" s="1"/>
  <c r="L258" i="1"/>
  <c r="L260" i="1"/>
  <c r="C26" i="10" s="1"/>
  <c r="L261" i="1"/>
  <c r="C135" i="2" s="1"/>
  <c r="F262" i="1"/>
  <c r="G262" i="1"/>
  <c r="H262" i="1"/>
  <c r="I262" i="1"/>
  <c r="J262" i="1"/>
  <c r="K262" i="1"/>
  <c r="L262" i="1"/>
  <c r="L268" i="1"/>
  <c r="H269" i="1"/>
  <c r="L269" i="1" s="1"/>
  <c r="E102" i="2" s="1"/>
  <c r="L270" i="1"/>
  <c r="L271" i="1"/>
  <c r="E104" i="2" s="1"/>
  <c r="L273" i="1"/>
  <c r="E110" i="2" s="1"/>
  <c r="H274" i="1"/>
  <c r="L274" i="1" s="1"/>
  <c r="E111" i="2" s="1"/>
  <c r="L275" i="1"/>
  <c r="E112" i="2" s="1"/>
  <c r="L276" i="1"/>
  <c r="E113" i="2" s="1"/>
  <c r="L277" i="1"/>
  <c r="E114" i="2" s="1"/>
  <c r="L278" i="1"/>
  <c r="E115" i="2" s="1"/>
  <c r="L279" i="1"/>
  <c r="L280" i="1"/>
  <c r="F282" i="1"/>
  <c r="G282" i="1"/>
  <c r="I282" i="1"/>
  <c r="I330" i="1" s="1"/>
  <c r="I344" i="1" s="1"/>
  <c r="J282" i="1"/>
  <c r="F31" i="13" s="1"/>
  <c r="K282" i="1"/>
  <c r="G31" i="13" s="1"/>
  <c r="L287" i="1"/>
  <c r="H288" i="1"/>
  <c r="H301" i="1" s="1"/>
  <c r="L288" i="1"/>
  <c r="L289" i="1"/>
  <c r="L290" i="1"/>
  <c r="L292" i="1"/>
  <c r="H293" i="1"/>
  <c r="L293" i="1"/>
  <c r="L294" i="1"/>
  <c r="L295" i="1"/>
  <c r="L301" i="1" s="1"/>
  <c r="L296" i="1"/>
  <c r="L297" i="1"/>
  <c r="L298" i="1"/>
  <c r="E116" i="2" s="1"/>
  <c r="L299" i="1"/>
  <c r="F301" i="1"/>
  <c r="G301" i="1"/>
  <c r="G330" i="1" s="1"/>
  <c r="G344" i="1" s="1"/>
  <c r="I301" i="1"/>
  <c r="J301" i="1"/>
  <c r="K301" i="1"/>
  <c r="H306" i="1"/>
  <c r="H307" i="1"/>
  <c r="L307" i="1"/>
  <c r="L308" i="1"/>
  <c r="C12" i="10"/>
  <c r="L309" i="1"/>
  <c r="L311" i="1"/>
  <c r="H312" i="1"/>
  <c r="L312" i="1"/>
  <c r="L313" i="1"/>
  <c r="L314" i="1"/>
  <c r="L315" i="1"/>
  <c r="L316" i="1"/>
  <c r="L317" i="1"/>
  <c r="L318" i="1"/>
  <c r="F320" i="1"/>
  <c r="G320" i="1"/>
  <c r="I320" i="1"/>
  <c r="J320" i="1"/>
  <c r="K320" i="1"/>
  <c r="L324" i="1"/>
  <c r="E105" i="2" s="1"/>
  <c r="L325" i="1"/>
  <c r="L326" i="1"/>
  <c r="F327" i="1"/>
  <c r="L327" i="1" s="1"/>
  <c r="G327" i="1"/>
  <c r="L328" i="1"/>
  <c r="F329" i="1"/>
  <c r="L329" i="1" s="1"/>
  <c r="G329" i="1"/>
  <c r="H329" i="1"/>
  <c r="I329" i="1"/>
  <c r="J329" i="1"/>
  <c r="K329" i="1"/>
  <c r="F330" i="1"/>
  <c r="L333" i="1"/>
  <c r="L334" i="1"/>
  <c r="E124" i="2" s="1"/>
  <c r="L336" i="1"/>
  <c r="E126" i="2" s="1"/>
  <c r="L337" i="1"/>
  <c r="L338" i="1"/>
  <c r="E129" i="2" s="1"/>
  <c r="L339" i="1"/>
  <c r="L341" i="1"/>
  <c r="E134" i="2" s="1"/>
  <c r="L342" i="1"/>
  <c r="K343" i="1"/>
  <c r="F344" i="1"/>
  <c r="H350" i="1"/>
  <c r="H354" i="1" s="1"/>
  <c r="L350" i="1"/>
  <c r="H351" i="1"/>
  <c r="L351" i="1" s="1"/>
  <c r="H352" i="1"/>
  <c r="L353" i="1"/>
  <c r="F354" i="1"/>
  <c r="G354" i="1"/>
  <c r="J354" i="1"/>
  <c r="K354" i="1"/>
  <c r="I359" i="1"/>
  <c r="F360" i="1"/>
  <c r="G360" i="1"/>
  <c r="H360" i="1"/>
  <c r="H361" i="1" s="1"/>
  <c r="I360" i="1"/>
  <c r="I361" i="1" s="1"/>
  <c r="H624" i="1" s="1"/>
  <c r="F361" i="1"/>
  <c r="G361" i="1"/>
  <c r="L366" i="1"/>
  <c r="C29" i="10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0" i="1"/>
  <c r="L381" i="1"/>
  <c r="L382" i="1"/>
  <c r="L383" i="1"/>
  <c r="L385" i="1" s="1"/>
  <c r="L384" i="1"/>
  <c r="F385" i="1"/>
  <c r="G385" i="1"/>
  <c r="H385" i="1"/>
  <c r="H400" i="1" s="1"/>
  <c r="H634" i="1" s="1"/>
  <c r="I385" i="1"/>
  <c r="L387" i="1"/>
  <c r="L388" i="1"/>
  <c r="L389" i="1"/>
  <c r="L390" i="1"/>
  <c r="L391" i="1"/>
  <c r="L393" i="1" s="1"/>
  <c r="C131" i="2" s="1"/>
  <c r="L392" i="1"/>
  <c r="F393" i="1"/>
  <c r="F400" i="1" s="1"/>
  <c r="H633" i="1" s="1"/>
  <c r="J633" i="1" s="1"/>
  <c r="G393" i="1"/>
  <c r="H393" i="1"/>
  <c r="I393" i="1"/>
  <c r="L395" i="1"/>
  <c r="L399" i="1" s="1"/>
  <c r="C132" i="2" s="1"/>
  <c r="L396" i="1"/>
  <c r="L397" i="1"/>
  <c r="L398" i="1"/>
  <c r="F399" i="1"/>
  <c r="G399" i="1"/>
  <c r="G400" i="1" s="1"/>
  <c r="H635" i="1" s="1"/>
  <c r="J635" i="1" s="1"/>
  <c r="H399" i="1"/>
  <c r="I399" i="1"/>
  <c r="I400" i="1" s="1"/>
  <c r="L405" i="1"/>
  <c r="L406" i="1"/>
  <c r="L407" i="1"/>
  <c r="L408" i="1"/>
  <c r="L411" i="1" s="1"/>
  <c r="L409" i="1"/>
  <c r="L410" i="1"/>
  <c r="F411" i="1"/>
  <c r="F426" i="1" s="1"/>
  <c r="G411" i="1"/>
  <c r="G426" i="1" s="1"/>
  <c r="H411" i="1"/>
  <c r="I411" i="1"/>
  <c r="J411" i="1"/>
  <c r="K411" i="1"/>
  <c r="K426" i="1" s="1"/>
  <c r="G126" i="2" s="1"/>
  <c r="G136" i="2" s="1"/>
  <c r="G137" i="2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K419" i="1"/>
  <c r="L421" i="1"/>
  <c r="L422" i="1"/>
  <c r="L425" i="1" s="1"/>
  <c r="L423" i="1"/>
  <c r="L424" i="1"/>
  <c r="F425" i="1"/>
  <c r="G425" i="1"/>
  <c r="H425" i="1"/>
  <c r="I425" i="1"/>
  <c r="J425" i="1"/>
  <c r="K425" i="1"/>
  <c r="H426" i="1"/>
  <c r="I426" i="1"/>
  <c r="J426" i="1"/>
  <c r="I431" i="1"/>
  <c r="I438" i="1" s="1"/>
  <c r="G632" i="1" s="1"/>
  <c r="I432" i="1"/>
  <c r="I433" i="1"/>
  <c r="I434" i="1"/>
  <c r="I435" i="1"/>
  <c r="I436" i="1"/>
  <c r="I437" i="1"/>
  <c r="F438" i="1"/>
  <c r="G629" i="1" s="1"/>
  <c r="G438" i="1"/>
  <c r="H438" i="1"/>
  <c r="G631" i="1" s="1"/>
  <c r="I440" i="1"/>
  <c r="I444" i="1" s="1"/>
  <c r="I441" i="1"/>
  <c r="I442" i="1"/>
  <c r="J25" i="1" s="1"/>
  <c r="G24" i="2" s="1"/>
  <c r="I443" i="1"/>
  <c r="J32" i="1" s="1"/>
  <c r="G31" i="2" s="1"/>
  <c r="F444" i="1"/>
  <c r="G444" i="1"/>
  <c r="H444" i="1"/>
  <c r="I446" i="1"/>
  <c r="J37" i="1" s="1"/>
  <c r="I447" i="1"/>
  <c r="I450" i="1" s="1"/>
  <c r="I448" i="1"/>
  <c r="J40" i="1" s="1"/>
  <c r="G39" i="2" s="1"/>
  <c r="I449" i="1"/>
  <c r="J41" i="1" s="1"/>
  <c r="G40" i="2" s="1"/>
  <c r="F450" i="1"/>
  <c r="G450" i="1"/>
  <c r="G451" i="1" s="1"/>
  <c r="H630" i="1" s="1"/>
  <c r="H450" i="1"/>
  <c r="H451" i="1" s="1"/>
  <c r="H631" i="1" s="1"/>
  <c r="F451" i="1"/>
  <c r="H629" i="1" s="1"/>
  <c r="H458" i="1"/>
  <c r="H460" i="1" s="1"/>
  <c r="H466" i="1" s="1"/>
  <c r="H614" i="1" s="1"/>
  <c r="J614" i="1" s="1"/>
  <c r="F460" i="1"/>
  <c r="G460" i="1"/>
  <c r="G466" i="1" s="1"/>
  <c r="H613" i="1" s="1"/>
  <c r="I460" i="1"/>
  <c r="J460" i="1"/>
  <c r="F462" i="1"/>
  <c r="F464" i="1" s="1"/>
  <c r="H462" i="1"/>
  <c r="H623" i="1" s="1"/>
  <c r="H464" i="1"/>
  <c r="I464" i="1"/>
  <c r="I466" i="1" s="1"/>
  <c r="H615" i="1" s="1"/>
  <c r="J464" i="1"/>
  <c r="J466" i="1"/>
  <c r="H616" i="1" s="1"/>
  <c r="K485" i="1"/>
  <c r="K486" i="1"/>
  <c r="K487" i="1"/>
  <c r="K488" i="1"/>
  <c r="K489" i="1"/>
  <c r="F490" i="1"/>
  <c r="K490" i="1" s="1"/>
  <c r="G490" i="1"/>
  <c r="C153" i="2" s="1"/>
  <c r="H490" i="1"/>
  <c r="D153" i="2" s="1"/>
  <c r="I490" i="1"/>
  <c r="E153" i="2" s="1"/>
  <c r="J490" i="1"/>
  <c r="F153" i="2" s="1"/>
  <c r="K491" i="1"/>
  <c r="K492" i="1"/>
  <c r="F493" i="1"/>
  <c r="G493" i="1"/>
  <c r="H493" i="1"/>
  <c r="D156" i="2" s="1"/>
  <c r="I493" i="1"/>
  <c r="E156" i="2" s="1"/>
  <c r="J493" i="1"/>
  <c r="F156" i="2" s="1"/>
  <c r="K493" i="1"/>
  <c r="F507" i="1"/>
  <c r="G507" i="1"/>
  <c r="H507" i="1"/>
  <c r="I507" i="1"/>
  <c r="F511" i="1"/>
  <c r="L511" i="1" s="1"/>
  <c r="H511" i="1"/>
  <c r="I511" i="1"/>
  <c r="J511" i="1"/>
  <c r="F512" i="1"/>
  <c r="L512" i="1" s="1"/>
  <c r="F540" i="1" s="1"/>
  <c r="H512" i="1"/>
  <c r="H514" i="1" s="1"/>
  <c r="I512" i="1"/>
  <c r="I514" i="1" s="1"/>
  <c r="I535" i="1" s="1"/>
  <c r="J512" i="1"/>
  <c r="F513" i="1"/>
  <c r="L513" i="1" s="1"/>
  <c r="F541" i="1" s="1"/>
  <c r="G513" i="1"/>
  <c r="H513" i="1"/>
  <c r="I513" i="1"/>
  <c r="J513" i="1"/>
  <c r="G514" i="1"/>
  <c r="J514" i="1"/>
  <c r="K514" i="1"/>
  <c r="F516" i="1"/>
  <c r="L516" i="1" s="1"/>
  <c r="H516" i="1"/>
  <c r="H519" i="1" s="1"/>
  <c r="F517" i="1"/>
  <c r="H517" i="1"/>
  <c r="L517" i="1"/>
  <c r="H518" i="1"/>
  <c r="L518" i="1"/>
  <c r="G541" i="1" s="1"/>
  <c r="F519" i="1"/>
  <c r="G519" i="1"/>
  <c r="I519" i="1"/>
  <c r="J519" i="1"/>
  <c r="K519" i="1"/>
  <c r="K535" i="1" s="1"/>
  <c r="H521" i="1"/>
  <c r="L521" i="1"/>
  <c r="F522" i="1"/>
  <c r="H522" i="1"/>
  <c r="H524" i="1" s="1"/>
  <c r="L522" i="1"/>
  <c r="H540" i="1" s="1"/>
  <c r="H542" i="1" s="1"/>
  <c r="F523" i="1"/>
  <c r="L523" i="1" s="1"/>
  <c r="H541" i="1" s="1"/>
  <c r="G523" i="1"/>
  <c r="H523" i="1"/>
  <c r="G524" i="1"/>
  <c r="I524" i="1"/>
  <c r="J524" i="1"/>
  <c r="K524" i="1"/>
  <c r="L526" i="1"/>
  <c r="L529" i="1" s="1"/>
  <c r="L527" i="1"/>
  <c r="I540" i="1" s="1"/>
  <c r="L528" i="1"/>
  <c r="I541" i="1" s="1"/>
  <c r="F529" i="1"/>
  <c r="G529" i="1"/>
  <c r="H529" i="1"/>
  <c r="I529" i="1"/>
  <c r="J529" i="1"/>
  <c r="K529" i="1"/>
  <c r="H531" i="1"/>
  <c r="L531" i="1"/>
  <c r="F532" i="1"/>
  <c r="L532" i="1" s="1"/>
  <c r="H532" i="1"/>
  <c r="H534" i="1" s="1"/>
  <c r="H533" i="1"/>
  <c r="L533" i="1"/>
  <c r="G534" i="1"/>
  <c r="I534" i="1"/>
  <c r="J534" i="1"/>
  <c r="K534" i="1"/>
  <c r="G535" i="1"/>
  <c r="J535" i="1"/>
  <c r="H539" i="1"/>
  <c r="J539" i="1"/>
  <c r="G540" i="1"/>
  <c r="J541" i="1"/>
  <c r="L547" i="1"/>
  <c r="L548" i="1"/>
  <c r="L549" i="1"/>
  <c r="F550" i="1"/>
  <c r="G550" i="1"/>
  <c r="G561" i="1" s="1"/>
  <c r="H550" i="1"/>
  <c r="H561" i="1" s="1"/>
  <c r="I550" i="1"/>
  <c r="I561" i="1" s="1"/>
  <c r="J550" i="1"/>
  <c r="K550" i="1"/>
  <c r="L550" i="1"/>
  <c r="L561" i="1" s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F561" i="1"/>
  <c r="I565" i="1"/>
  <c r="I566" i="1"/>
  <c r="I567" i="1"/>
  <c r="H568" i="1"/>
  <c r="I568" i="1"/>
  <c r="I569" i="1"/>
  <c r="I570" i="1"/>
  <c r="H571" i="1"/>
  <c r="I571" i="1"/>
  <c r="F572" i="1"/>
  <c r="F653" i="1" s="1"/>
  <c r="I653" i="1" s="1"/>
  <c r="G572" i="1"/>
  <c r="H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K586" i="1"/>
  <c r="K587" i="1"/>
  <c r="H588" i="1"/>
  <c r="I588" i="1"/>
  <c r="J588" i="1"/>
  <c r="H641" i="1"/>
  <c r="K592" i="1"/>
  <c r="K595" i="1" s="1"/>
  <c r="G638" i="1" s="1"/>
  <c r="K593" i="1"/>
  <c r="J594" i="1"/>
  <c r="K594" i="1"/>
  <c r="H595" i="1"/>
  <c r="I595" i="1"/>
  <c r="J595" i="1"/>
  <c r="G601" i="1"/>
  <c r="L601" i="1" s="1"/>
  <c r="L604" i="1" s="1"/>
  <c r="G602" i="1"/>
  <c r="G604" i="1" s="1"/>
  <c r="L602" i="1"/>
  <c r="G653" i="1" s="1"/>
  <c r="L603" i="1"/>
  <c r="H653" i="1" s="1"/>
  <c r="F604" i="1"/>
  <c r="H604" i="1"/>
  <c r="I604" i="1"/>
  <c r="J604" i="1"/>
  <c r="K604" i="1"/>
  <c r="G608" i="1"/>
  <c r="G609" i="1"/>
  <c r="G610" i="1"/>
  <c r="G614" i="1"/>
  <c r="H617" i="1"/>
  <c r="H618" i="1"/>
  <c r="H620" i="1"/>
  <c r="H621" i="1"/>
  <c r="H622" i="1"/>
  <c r="H626" i="1"/>
  <c r="H627" i="1"/>
  <c r="H628" i="1"/>
  <c r="G630" i="1"/>
  <c r="J630" i="1" s="1"/>
  <c r="G633" i="1"/>
  <c r="G634" i="1"/>
  <c r="G635" i="1"/>
  <c r="H639" i="1"/>
  <c r="G640" i="1"/>
  <c r="H640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G652" i="1"/>
  <c r="H652" i="1"/>
  <c r="I655" i="1"/>
  <c r="I659" i="1"/>
  <c r="I660" i="1"/>
  <c r="A40" i="12"/>
  <c r="A22" i="12"/>
  <c r="E103" i="2"/>
  <c r="J640" i="1"/>
  <c r="C130" i="2" l="1"/>
  <c r="L400" i="1"/>
  <c r="C112" i="2"/>
  <c r="H651" i="1"/>
  <c r="G185" i="1"/>
  <c r="G618" i="1" s="1"/>
  <c r="J618" i="1" s="1"/>
  <c r="E55" i="2"/>
  <c r="L514" i="1"/>
  <c r="F539" i="1"/>
  <c r="I451" i="1"/>
  <c r="H632" i="1" s="1"/>
  <c r="E120" i="2"/>
  <c r="F73" i="2"/>
  <c r="F55" i="2"/>
  <c r="F96" i="2" s="1"/>
  <c r="F43" i="2"/>
  <c r="J632" i="1"/>
  <c r="J631" i="1"/>
  <c r="C111" i="2"/>
  <c r="C16" i="10"/>
  <c r="D7" i="13"/>
  <c r="C7" i="13" s="1"/>
  <c r="G33" i="13"/>
  <c r="D96" i="2"/>
  <c r="E43" i="2"/>
  <c r="F33" i="13"/>
  <c r="C133" i="2"/>
  <c r="C136" i="2"/>
  <c r="E8" i="13"/>
  <c r="C110" i="2"/>
  <c r="I44" i="1"/>
  <c r="H610" i="1" s="1"/>
  <c r="J610" i="1" s="1"/>
  <c r="G32" i="2"/>
  <c r="E136" i="2"/>
  <c r="C73" i="2"/>
  <c r="J634" i="1"/>
  <c r="J629" i="1"/>
  <c r="L239" i="1"/>
  <c r="H650" i="1" s="1"/>
  <c r="H654" i="1" s="1"/>
  <c r="E73" i="2"/>
  <c r="K541" i="1"/>
  <c r="L306" i="1"/>
  <c r="L320" i="1" s="1"/>
  <c r="H320" i="1"/>
  <c r="G36" i="2"/>
  <c r="C11" i="10"/>
  <c r="L203" i="1"/>
  <c r="G156" i="2"/>
  <c r="C115" i="2"/>
  <c r="D14" i="13"/>
  <c r="C14" i="13" s="1"/>
  <c r="C20" i="10"/>
  <c r="C21" i="10"/>
  <c r="D15" i="13"/>
  <c r="C15" i="13" s="1"/>
  <c r="C116" i="2"/>
  <c r="H637" i="1"/>
  <c r="J637" i="1" s="1"/>
  <c r="G639" i="1"/>
  <c r="J639" i="1" s="1"/>
  <c r="F652" i="1"/>
  <c r="I652" i="1" s="1"/>
  <c r="H535" i="1"/>
  <c r="E106" i="2"/>
  <c r="C24" i="10"/>
  <c r="G613" i="1"/>
  <c r="J613" i="1" s="1"/>
  <c r="G44" i="1"/>
  <c r="H608" i="1" s="1"/>
  <c r="J608" i="1" s="1"/>
  <c r="L519" i="1"/>
  <c r="G539" i="1"/>
  <c r="G542" i="1" s="1"/>
  <c r="F466" i="1"/>
  <c r="H612" i="1" s="1"/>
  <c r="L426" i="1"/>
  <c r="G628" i="1" s="1"/>
  <c r="J628" i="1" s="1"/>
  <c r="D29" i="13"/>
  <c r="C29" i="13" s="1"/>
  <c r="C38" i="10"/>
  <c r="I185" i="1"/>
  <c r="G620" i="1" s="1"/>
  <c r="J620" i="1" s="1"/>
  <c r="C54" i="2"/>
  <c r="C55" i="2" s="1"/>
  <c r="C96" i="2" s="1"/>
  <c r="L354" i="1"/>
  <c r="G651" i="1"/>
  <c r="G636" i="1"/>
  <c r="G621" i="1"/>
  <c r="J621" i="1" s="1"/>
  <c r="G96" i="2"/>
  <c r="J540" i="1"/>
  <c r="K540" i="1" s="1"/>
  <c r="L534" i="1"/>
  <c r="C18" i="10"/>
  <c r="H249" i="1"/>
  <c r="H263" i="1" s="1"/>
  <c r="H185" i="1"/>
  <c r="G619" i="1" s="1"/>
  <c r="H625" i="1"/>
  <c r="I539" i="1"/>
  <c r="I542" i="1" s="1"/>
  <c r="F514" i="1"/>
  <c r="K330" i="1"/>
  <c r="K344" i="1" s="1"/>
  <c r="D12" i="13"/>
  <c r="C12" i="13" s="1"/>
  <c r="C113" i="2"/>
  <c r="C106" i="2"/>
  <c r="C24" i="2"/>
  <c r="C32" i="2" s="1"/>
  <c r="C43" i="2" s="1"/>
  <c r="B153" i="2"/>
  <c r="G153" i="2" s="1"/>
  <c r="C19" i="10"/>
  <c r="J330" i="1"/>
  <c r="J344" i="1" s="1"/>
  <c r="G161" i="1"/>
  <c r="C39" i="10" s="1"/>
  <c r="J33" i="1"/>
  <c r="J9" i="1"/>
  <c r="D40" i="2"/>
  <c r="D42" i="2" s="1"/>
  <c r="D43" i="2" s="1"/>
  <c r="C17" i="10"/>
  <c r="C114" i="2"/>
  <c r="C77" i="2"/>
  <c r="C83" i="2" s="1"/>
  <c r="L524" i="1"/>
  <c r="H282" i="1"/>
  <c r="H330" i="1" s="1"/>
  <c r="H344" i="1" s="1"/>
  <c r="J38" i="1"/>
  <c r="G37" i="2" s="1"/>
  <c r="F651" i="1"/>
  <c r="H619" i="1"/>
  <c r="I572" i="1"/>
  <c r="C13" i="10"/>
  <c r="C134" i="2"/>
  <c r="C105" i="2"/>
  <c r="D119" i="2"/>
  <c r="D120" i="2" s="1"/>
  <c r="D137" i="2" s="1"/>
  <c r="L343" i="1"/>
  <c r="L374" i="1"/>
  <c r="G626" i="1" s="1"/>
  <c r="J626" i="1" s="1"/>
  <c r="L208" i="1"/>
  <c r="D5" i="13" s="1"/>
  <c r="D6" i="13"/>
  <c r="C6" i="13" s="1"/>
  <c r="C35" i="10"/>
  <c r="C15" i="10"/>
  <c r="C124" i="2"/>
  <c r="C32" i="10"/>
  <c r="F534" i="1"/>
  <c r="F524" i="1"/>
  <c r="L207" i="1"/>
  <c r="C101" i="2" s="1"/>
  <c r="F43" i="1"/>
  <c r="C10" i="10"/>
  <c r="J221" i="1"/>
  <c r="J249" i="1" s="1"/>
  <c r="H25" i="13"/>
  <c r="D17" i="13"/>
  <c r="C17" i="13" s="1"/>
  <c r="L282" i="1"/>
  <c r="F104" i="1"/>
  <c r="F185" i="1" s="1"/>
  <c r="G617" i="1" s="1"/>
  <c r="J617" i="1" s="1"/>
  <c r="J263" i="1" l="1"/>
  <c r="H638" i="1"/>
  <c r="J638" i="1" s="1"/>
  <c r="C5" i="13"/>
  <c r="C36" i="10"/>
  <c r="C41" i="10" s="1"/>
  <c r="F650" i="1"/>
  <c r="L249" i="1"/>
  <c r="L263" i="1" s="1"/>
  <c r="G622" i="1" s="1"/>
  <c r="J622" i="1" s="1"/>
  <c r="C25" i="13"/>
  <c r="H33" i="13"/>
  <c r="J619" i="1"/>
  <c r="C120" i="2"/>
  <c r="K539" i="1"/>
  <c r="K542" i="1" s="1"/>
  <c r="F542" i="1"/>
  <c r="L535" i="1"/>
  <c r="C27" i="10"/>
  <c r="G625" i="1"/>
  <c r="J625" i="1" s="1"/>
  <c r="I651" i="1"/>
  <c r="E33" i="13"/>
  <c r="D35" i="13" s="1"/>
  <c r="C8" i="13"/>
  <c r="E96" i="2"/>
  <c r="D31" i="13"/>
  <c r="C31" i="13" s="1"/>
  <c r="L330" i="1"/>
  <c r="L344" i="1" s="1"/>
  <c r="G623" i="1" s="1"/>
  <c r="J623" i="1" s="1"/>
  <c r="J43" i="1"/>
  <c r="G612" i="1"/>
  <c r="J612" i="1" s="1"/>
  <c r="F44" i="1"/>
  <c r="H607" i="1" s="1"/>
  <c r="J607" i="1" s="1"/>
  <c r="J636" i="1"/>
  <c r="G42" i="2"/>
  <c r="G43" i="2" s="1"/>
  <c r="C102" i="2"/>
  <c r="C107" i="2" s="1"/>
  <c r="C137" i="2" s="1"/>
  <c r="H657" i="1"/>
  <c r="H662" i="1"/>
  <c r="C6" i="10" s="1"/>
  <c r="J542" i="1"/>
  <c r="G627" i="1"/>
  <c r="J627" i="1" s="1"/>
  <c r="H636" i="1"/>
  <c r="L221" i="1"/>
  <c r="G650" i="1" s="1"/>
  <c r="G654" i="1" s="1"/>
  <c r="F535" i="1"/>
  <c r="G9" i="2"/>
  <c r="G19" i="2" s="1"/>
  <c r="J19" i="1"/>
  <c r="G611" i="1" s="1"/>
  <c r="E101" i="2"/>
  <c r="E107" i="2" s="1"/>
  <c r="E137" i="2" s="1"/>
  <c r="D37" i="10" l="1"/>
  <c r="D40" i="10"/>
  <c r="D35" i="10"/>
  <c r="D39" i="10"/>
  <c r="D38" i="10"/>
  <c r="C28" i="10"/>
  <c r="I650" i="1"/>
  <c r="I654" i="1" s="1"/>
  <c r="F654" i="1"/>
  <c r="J44" i="1"/>
  <c r="H611" i="1" s="1"/>
  <c r="J611" i="1" s="1"/>
  <c r="G616" i="1"/>
  <c r="J616" i="1" s="1"/>
  <c r="D33" i="13"/>
  <c r="D36" i="13" s="1"/>
  <c r="D36" i="10"/>
  <c r="G657" i="1"/>
  <c r="G662" i="1"/>
  <c r="C5" i="10" s="1"/>
  <c r="D22" i="10" l="1"/>
  <c r="C30" i="10"/>
  <c r="D25" i="10"/>
  <c r="D12" i="10"/>
  <c r="D26" i="10"/>
  <c r="D23" i="10"/>
  <c r="D15" i="10"/>
  <c r="D18" i="10"/>
  <c r="D21" i="10"/>
  <c r="D17" i="10"/>
  <c r="D19" i="10"/>
  <c r="D16" i="10"/>
  <c r="D20" i="10"/>
  <c r="D11" i="10"/>
  <c r="D10" i="10"/>
  <c r="D13" i="10"/>
  <c r="D24" i="10"/>
  <c r="F662" i="1"/>
  <c r="C4" i="10" s="1"/>
  <c r="F657" i="1"/>
  <c r="I662" i="1"/>
  <c r="C7" i="10" s="1"/>
  <c r="I657" i="1"/>
  <c r="H646" i="1"/>
  <c r="D27" i="10"/>
  <c r="D4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DFDAAAC-F94B-4381-A6AE-092A19E7C48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C41E5D9-177C-4BF3-8EC6-FFAB8E271F9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36F6907-2574-4B56-B69B-D72A9728E76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606CA2B-1A30-41F7-85F5-223526751CB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A70CB12-F54F-4460-993B-68321FEB116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064DF63-B375-4535-A37B-92C75836881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20BDA8E-B96A-427F-897E-E2CFD145AC2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FAB3763-F6DF-44B9-BA2E-985BCBB141E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BE2F195-0198-4724-A4EB-97888F479F8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93913AD-78CE-4547-84E0-2E0D83AB4C5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15E7EA4-0372-48F2-BBEC-0CA2C8E860D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F2FC8F0-897A-4121-AC98-E363BA3FA72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<sst xmlns="http://schemas.openxmlformats.org/spreadsheetml/2006/main" count="3865" uniqueCount="902">
  <si>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</si>
  <si>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</si>
  <si>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</si>
  <si>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</si>
  <si>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</si>
  <si>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</si>
  <si>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</si>
  <si>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</si>
  <si>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</si>
  <si>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</si>
  <si>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</si>
  <si>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</si>
  <si>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</si>
  <si>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</si>
  <si>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</si>
  <si>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</si>
  <si>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</si>
  <si>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</si>
  <si>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</si>
  <si>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</si>
  <si>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</si>
  <si>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</si>
  <si>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</si>
  <si>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</si>
  <si>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</si>
  <si>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</si>
  <si>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</si>
  <si>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</si>
  <si>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</si>
  <si>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</si>
  <si>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</si>
  <si>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</si>
  <si>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</si>
  <si>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</si>
  <si>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</si>
  <si>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</si>
  <si>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</si>
  <si>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</si>
  <si>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</si>
  <si>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</si>
  <si>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</si>
  <si>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</si>
  <si>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</si>
  <si>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</si>
  <si>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</si>
  <si>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</si>
  <si>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</si>
  <si>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</si>
  <si>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</si>
  <si>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</si>
  <si>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</si>
  <si>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</si>
  <si>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</si>
  <si>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</si>
  <si>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</si>
  <si>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</si>
  <si>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</si>
  <si>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</si>
  <si>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</si>
  <si>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</si>
  <si>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</si>
  <si>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</si>
  <si>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</si>
  <si>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</si>
  <si>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</si>
  <si>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</si>
  <si>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</si>
  <si>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</si>
  <si>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</si>
  <si>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</si>
  <si>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</si>
  <si>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</si>
  <si>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</si>
  <si>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</si>
  <si>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</si>
  <si>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</si>
  <si>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</si>
  <si>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</si>
  <si>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</si>
  <si>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</si>
  <si>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</si>
  <si>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</si>
  <si>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</si>
  <si>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</si>
  <si>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</si>
  <si>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</si>
  <si>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</si>
  <si>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</si>
  <si>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</si>
  <si>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</si>
  <si>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</si>
  <si>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</si>
  <si>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</si>
  <si>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</si>
  <si>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</si>
  <si>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</si>
  <si>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</si>
  <si>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</si>
  <si>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</si>
  <si>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</si>
  <si>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</si>
  <si>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</si>
  <si>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</si>
  <si>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</si>
  <si>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</si>
  <si>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</si>
  <si>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</si>
  <si>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</si>
  <si>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</si>
  <si>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</si>
  <si>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</si>
  <si>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</si>
  <si>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</si>
  <si>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</si>
  <si>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</si>
  <si>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</si>
  <si>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</si>
  <si>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</si>
  <si>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</si>
  <si>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</si>
  <si>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</si>
  <si>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</si>
  <si>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</si>
  <si>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</si>
  <si>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</si>
  <si>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</si>
  <si>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</si>
  <si>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</si>
  <si>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</si>
  <si>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</si>
  <si>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</si>
  <si>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</si>
  <si>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</si>
  <si>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</si>
  <si>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</si>
  <si>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</si>
  <si>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</si>
  <si>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</si>
  <si>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</si>
  <si>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</si>
  <si>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</si>
  <si>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</si>
  <si>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</si>
  <si>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</si>
  <si>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</si>
  <si>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</si>
  <si>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</si>
  <si>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</si>
  <si>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</si>
  <si>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</si>
  <si>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</si>
  <si>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</si>
  <si>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</si>
  <si>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</si>
  <si>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</si>
  <si>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</si>
  <si>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</si>
  <si>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</si>
  <si>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</si>
  <si>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</si>
  <si>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</si>
  <si>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</si>
  <si>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</si>
  <si>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</si>
  <si>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</si>
  <si>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</si>
  <si>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</si>
  <si>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</si>
  <si>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</si>
  <si>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</si>
  <si>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</si>
  <si>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</si>
  <si>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</si>
  <si>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</si>
  <si>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</si>
  <si>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</si>
  <si>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</si>
  <si>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</si>
  <si>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</si>
  <si>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</si>
  <si>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</si>
  <si>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</si>
  <si>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</si>
  <si>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</si>
  <si>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</si>
  <si>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</si>
  <si>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</si>
  <si>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</si>
  <si>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</si>
  <si>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</si>
  <si>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</si>
  <si>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</si>
  <si>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</si>
  <si>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</si>
  <si>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</si>
  <si>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</si>
  <si>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</si>
  <si>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</si>
  <si>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</si>
  <si>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</si>
  <si>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</si>
  <si>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</si>
  <si>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</si>
  <si>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</si>
  <si>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</si>
  <si>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</si>
  <si>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</si>
  <si>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</si>
  <si>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</si>
  <si>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</si>
  <si>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</si>
  <si>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</si>
  <si>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</si>
  <si>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</si>
  <si>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</si>
  <si>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</si>
  <si>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</si>
  <si>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</si>
  <si>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</si>
  <si>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</si>
  <si>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</si>
  <si>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</si>
  <si>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</si>
  <si>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</si>
  <si>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</si>
  <si>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</si>
  <si>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</si>
  <si>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</si>
  <si>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</si>
  <si>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</si>
  <si>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</si>
  <si>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</si>
  <si>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</si>
  <si>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</si>
  <si>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</si>
  <si>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</si>
  <si>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</si>
  <si>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</si>
  <si>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</si>
  <si>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</si>
  <si>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</si>
  <si>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</si>
  <si>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</si>
  <si>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</si>
  <si>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</si>
  <si>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</si>
  <si>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</si>
  <si>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</si>
  <si>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</si>
  <si>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</si>
  <si>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</si>
  <si>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</si>
  <si>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</si>
  <si>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</si>
  <si>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</si>
  <si>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</si>
  <si>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</si>
  <si>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</si>
  <si>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</si>
  <si>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</si>
  <si>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</si>
  <si>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</si>
  <si>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</si>
  <si>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</si>
  <si>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</si>
  <si>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</si>
  <si>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</si>
  <si>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</si>
  <si>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</si>
  <si>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</si>
  <si>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</si>
  <si>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</si>
  <si>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</si>
  <si>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</si>
  <si>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</si>
  <si>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</si>
  <si>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</si>
  <si>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</si>
  <si>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</si>
  <si>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</si>
  <si>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</si>
  <si>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</si>
  <si>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</si>
  <si>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</si>
  <si>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</si>
  <si>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</si>
  <si>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</si>
  <si>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</si>
  <si>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</si>
  <si>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</si>
  <si>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</si>
  <si>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</si>
  <si>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</si>
  <si>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</si>
  <si>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</si>
  <si>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</si>
  <si>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</si>
  <si>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</si>
  <si>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</si>
  <si>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</si>
  <si>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</si>
  <si>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</si>
  <si>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</si>
  <si>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</si>
  <si>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</si>
  <si>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</si>
  <si>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</si>
  <si>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</si>
  <si>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</si>
  <si>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</si>
  <si>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</si>
  <si>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</si>
  <si>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</si>
  <si>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</si>
  <si>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</si>
  <si>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</si>
  <si>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</si>
  <si>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</si>
  <si>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</si>
  <si>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</si>
  <si>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</si>
  <si>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</si>
  <si>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</si>
  <si>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</si>
  <si>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</si>
  <si>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</si>
  <si>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</si>
  <si>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</si>
  <si>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</si>
  <si>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</si>
  <si>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</si>
  <si>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</si>
  <si>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</si>
  <si>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</si>
  <si>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</si>
  <si>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</si>
  <si>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</si>
  <si>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</si>
  <si>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</si>
  <si>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</si>
  <si>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</si>
  <si>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</si>
  <si>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</si>
  <si>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</si>
  <si>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</si>
  <si>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</si>
  <si>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</si>
  <si>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</si>
  <si>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</si>
  <si>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</si>
  <si>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</si>
  <si>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</si>
  <si>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</si>
  <si>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</si>
  <si>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</si>
  <si>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</si>
  <si>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</si>
  <si>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</si>
  <si>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</si>
  <si>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</si>
  <si>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</si>
  <si>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</si>
  <si>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</si>
  <si>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</si>
  <si>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</si>
  <si>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</si>
  <si>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</si>
  <si>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</si>
  <si>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</si>
  <si>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</si>
  <si>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</si>
  <si>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</si>
  <si>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</si>
  <si>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</si>
  <si>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</si>
  <si>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</si>
  <si>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</si>
  <si>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</si>
  <si>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</si>
  <si>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</si>
  <si>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</si>
  <si>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</si>
  <si>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</si>
  <si>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</si>
  <si>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</si>
  <si>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</si>
  <si>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</si>
  <si>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</si>
  <si>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</si>
  <si>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</si>
  <si>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</si>
  <si>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</si>
  <si>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</si>
  <si>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</si>
  <si>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</si>
  <si>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</si>
  <si>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</si>
  <si>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</si>
  <si>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</si>
  <si>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</si>
  <si>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</si>
  <si>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</si>
  <si>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</si>
  <si>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</si>
  <si>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</si>
  <si>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</si>
  <si>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</si>
  <si>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</si>
  <si>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</si>
  <si>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</si>
  <si>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</si>
  <si>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</si>
  <si>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</si>
  <si>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</si>
  <si>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</si>
  <si>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</si>
  <si>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</si>
  <si>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</si>
  <si>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</si>
  <si>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</si>
  <si>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</si>
  <si>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</si>
  <si>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</si>
  <si>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</si>
  <si>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</si>
  <si>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</si>
  <si>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</si>
  <si>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</si>
  <si>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</si>
  <si>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</si>
  <si>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</si>
  <si>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</si>
  <si>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</si>
  <si>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</si>
  <si>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</si>
  <si>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</si>
  <si>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</si>
  <si>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</si>
  <si>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</si>
  <si>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</si>
  <si>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</si>
  <si>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</si>
  <si>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</si>
  <si>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</si>
  <si>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</si>
  <si>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</si>
  <si>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</si>
  <si>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</si>
  <si>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</si>
  <si>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</si>
  <si>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</si>
  <si>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</si>
  <si>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</si>
  <si>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</si>
  <si>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</si>
  <si>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</si>
  <si>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</si>
  <si>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</si>
  <si>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</si>
  <si>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</si>
  <si>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</si>
  <si>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</si>
  <si>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</si>
  <si>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</si>
  <si>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</si>
  <si>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</si>
  <si>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</si>
  <si>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</si>
  <si>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</si>
  <si>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</si>
  <si>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</si>
  <si>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</si>
  <si>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</si>
  <si>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</si>
  <si>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</si>
  <si>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</si>
  <si>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</si>
  <si>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</si>
  <si>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</si>
  <si>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</si>
  <si>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</si>
  <si>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</si>
  <si>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</si>
  <si>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</si>
  <si>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</si>
  <si>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</si>
  <si>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</si>
  <si>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</si>
  <si>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</si>
  <si>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</si>
  <si>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</si>
  <si>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</si>
  <si>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</si>
  <si>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</si>
  <si>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</si>
  <si>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</si>
  <si>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</si>
  <si>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</si>
  <si>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</si>
  <si>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</si>
  <si>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</si>
  <si>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</si>
  <si>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</si>
  <si>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</si>
  <si>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</si>
  <si>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</si>
  <si>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</si>
  <si>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</si>
  <si>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</si>
  <si>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</si>
  <si>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</si>
  <si>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</si>
  <si>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</si>
  <si>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</si>
  <si>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</si>
  <si>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</si>
  <si>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</si>
  <si>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</si>
  <si>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</si>
  <si>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</si>
  <si>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</si>
  <si>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</si>
  <si>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</si>
  <si>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</si>
  <si>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</si>
  <si>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</si>
  <si>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</si>
  <si>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</si>
  <si>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</si>
  <si>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</si>
  <si>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</si>
  <si>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</si>
  <si>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</si>
  <si>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</si>
  <si>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</si>
  <si>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</si>
  <si>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</si>
  <si>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</si>
  <si>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</si>
  <si>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</si>
  <si>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</si>
  <si>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</si>
  <si>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</si>
  <si>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</si>
  <si>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</si>
  <si>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</si>
  <si>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</si>
  <si>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</si>
  <si>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</si>
  <si>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</si>
  <si>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</si>
  <si>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</si>
  <si>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</si>
  <si>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</si>
  <si>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</si>
  <si>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</si>
  <si>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</si>
  <si>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</si>
  <si>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</si>
  <si>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</si>
  <si>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</si>
  <si>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</si>
  <si>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</si>
  <si>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</si>
  <si>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</si>
  <si>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</si>
  <si>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</si>
  <si>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</si>
  <si>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</si>
  <si>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</si>
  <si>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</si>
  <si>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</si>
  <si>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</si>
  <si>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</si>
  <si>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</si>
  <si>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</si>
  <si>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</si>
  <si>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</si>
  <si>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</si>
  <si>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</si>
  <si>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</si>
  <si>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</si>
  <si>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</si>
  <si>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</si>
  <si>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</si>
  <si>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</si>
  <si>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</si>
  <si>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</si>
  <si>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</si>
  <si>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</si>
  <si>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</si>
  <si>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</si>
  <si>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</si>
  <si>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</si>
  <si>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</si>
  <si>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</si>
  <si>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</si>
  <si>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</si>
  <si>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</si>
  <si>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</si>
  <si>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</si>
  <si>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</si>
  <si>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</si>
  <si>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</si>
  <si>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</si>
  <si>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</si>
  <si>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</si>
  <si>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</si>
  <si>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</si>
  <si>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</si>
  <si>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</si>
  <si>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</si>
  <si>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</si>
  <si>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</si>
  <si>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</si>
  <si>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</si>
  <si>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</si>
  <si>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</si>
  <si>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</si>
  <si>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</si>
  <si>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</si>
  <si>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</si>
  <si>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</si>
  <si>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</si>
  <si>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</si>
  <si>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</si>
  <si>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</si>
  <si>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</si>
  <si>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</si>
  <si>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</si>
  <si>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</si>
  <si>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</si>
  <si>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</si>
  <si>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</si>
  <si>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</si>
  <si>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</si>
  <si>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</si>
  <si>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</si>
  <si>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</si>
  <si>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</si>
  <si>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</si>
  <si>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</si>
  <si>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</si>
  <si>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</si>
  <si>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</si>
  <si>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</si>
  <si>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</si>
  <si>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</si>
  <si>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</si>
  <si>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</si>
  <si>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</si>
  <si>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</si>
  <si>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</si>
  <si>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</si>
  <si>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</si>
  <si>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</si>
  <si>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</si>
  <si>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</si>
  <si>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</si>
  <si>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</si>
  <si>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</si>
  <si>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</si>
  <si>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</si>
  <si>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</si>
  <si>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</si>
  <si>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</si>
  <si>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</si>
  <si>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</si>
  <si>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</si>
  <si>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</si>
  <si>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</si>
  <si>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</si>
  <si>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</si>
  <si>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</si>
  <si>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</si>
  <si>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</si>
  <si>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</si>
  <si>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</si>
  <si>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</si>
  <si>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</si>
  <si>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</si>
  <si>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</si>
  <si>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</si>
  <si>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</si>
  <si>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</si>
  <si>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</si>
  <si>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</si>
  <si>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</si>
  <si>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</si>
  <si>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</si>
  <si>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</si>
  <si>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</si>
  <si>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</si>
  <si>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</si>
  <si>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</si>
  <si>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</si>
  <si>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</si>
  <si>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</si>
  <si>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</si>
  <si>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</si>
  <si>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</si>
  <si>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</si>
  <si>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</si>
  <si>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</si>
  <si>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</si>
  <si>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</si>
  <si>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</si>
  <si>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</si>
  <si>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</si>
  <si>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</si>
  <si>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</si>
  <si>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</si>
  <si>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</si>
  <si>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</si>
  <si>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</si>
  <si>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</si>
  <si>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</si>
  <si>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</si>
  <si>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</si>
  <si>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</si>
  <si>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</si>
  <si>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</si>
  <si>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</si>
  <si>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</si>
  <si>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</si>
  <si>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</si>
  <si>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</si>
  <si>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</si>
  <si>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</si>
  <si>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</si>
  <si>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</si>
  <si>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</si>
  <si>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</si>
  <si>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</si>
  <si>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</si>
  <si>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</si>
  <si>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</si>
  <si>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</si>
  <si>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</si>
  <si>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</si>
  <si>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</si>
  <si>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</si>
  <si>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</si>
  <si>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</si>
  <si>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</si>
  <si>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</si>
  <si>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</si>
  <si>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</si>
  <si>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</si>
  <si>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</si>
  <si>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</si>
  <si>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</si>
  <si>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</si>
  <si>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</si>
  <si>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</si>
  <si>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</si>
  <si>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</si>
  <si>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</si>
  <si>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</si>
  <si>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</si>
  <si>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</si>
  <si>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</si>
  <si>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</si>
  <si>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</si>
  <si>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</si>
  <si>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</si>
  <si>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</si>
  <si>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</si>
  <si>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</si>
  <si>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</si>
  <si>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</si>
  <si>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</si>
  <si>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</si>
  <si>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</si>
  <si>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</si>
  <si>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</si>
  <si>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</si>
  <si>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</si>
  <si>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</si>
  <si>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</si>
  <si>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</si>
  <si>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</si>
  <si>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</si>
  <si>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</si>
  <si>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</si>
  <si>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</si>
  <si>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</si>
  <si>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</si>
  <si>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</si>
  <si>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</si>
  <si>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</si>
  <si>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</si>
  <si>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</si>
  <si>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</si>
  <si>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</si>
  <si>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</si>
  <si>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</si>
  <si>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</si>
  <si>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</si>
  <si>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</si>
  <si>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</si>
  <si>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</si>
  <si>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</si>
  <si>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</si>
  <si>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</si>
  <si>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</si>
  <si>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</si>
  <si>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</si>
  <si>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</si>
  <si>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</si>
  <si>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</si>
  <si>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</si>
  <si>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</si>
  <si>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</si>
  <si>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</si>
  <si>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</si>
  <si>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</si>
  <si>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</si>
  <si>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</si>
  <si>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</si>
  <si>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</si>
  <si>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</si>
  <si>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</si>
  <si>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</si>
  <si>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</si>
  <si>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</si>
  <si>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</si>
  <si>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</si>
  <si>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</si>
  <si>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</si>
  <si>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</si>
  <si>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</si>
  <si>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</si>
  <si>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</si>
  <si>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</si>
  <si>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</si>
  <si>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</si>
  <si>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</si>
  <si>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</si>
  <si>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</si>
  <si>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</si>
  <si>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</si>
  <si>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</si>
  <si>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</si>
  <si>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</si>
  <si>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</si>
  <si>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</si>
  <si>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</si>
  <si>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</si>
  <si>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</si>
  <si>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</si>
  <si>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</si>
  <si>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</si>
  <si>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</si>
  <si>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</si>
  <si>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</si>
  <si>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</si>
  <si>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</si>
  <si>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</si>
  <si>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</si>
  <si>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</si>
  <si>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</si>
  <si>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</si>
  <si>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</si>
  <si>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</si>
  <si>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</si>
  <si>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</si>
  <si>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</si>
  <si>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</si>
  <si>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</si>
  <si>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</si>
  <si>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</si>
  <si>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</si>
  <si>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</si>
  <si>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</si>
  <si>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</si>
  <si>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</si>
  <si>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</si>
  <si>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</si>
  <si>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</si>
  <si>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</si>
  <si>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</si>
  <si>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</si>
  <si>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</si>
  <si>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</si>
  <si>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</si>
  <si>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</si>
  <si>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</si>
  <si>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</si>
  <si>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</si>
  <si>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</si>
  <si>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</si>
  <si>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</si>
  <si>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</si>
  <si>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Merrimack Valley School District</t>
  </si>
  <si>
    <t>05/00</t>
  </si>
  <si>
    <t>05/11</t>
  </si>
  <si>
    <t>06/05</t>
  </si>
  <si>
    <t>10/14</t>
  </si>
  <si>
    <t>Fund 30 Change in Accrued Arbitrage Rebate</t>
  </si>
  <si>
    <t>Fund 21 Change in Inventories</t>
  </si>
  <si>
    <t>2740 Bus Repair and Maintenance allocated to individual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</si>
</sst>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A833-6CCA-49A3-9816-3CB3E218D011}">
  <sheetPr transitionEvaluation="1" transitionEntry="1" codeName="Sheet1">
    <tabColor indexed="56"/>
  </sheetPr>
  <dimension ref="A1:AQ666"/>
  <sheetViews>
    <sheetView tabSelected="1" zoomScale="75" zoomScaleNormal="13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352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2118677.29</v>
      </c>
      <c r="G9" s="18">
        <v>215.69</v>
      </c>
      <c r="H9" s="18"/>
      <c r="I9" s="18">
        <v>488599.13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f>2319.62+1157385.74</f>
        <v>1159705.3600000001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8993.1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192211.11</v>
      </c>
      <c r="G12" s="18">
        <v>53677.96</v>
      </c>
      <c r="H12" s="18"/>
      <c r="I12" s="18">
        <v>2669.02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136139.35999999999</v>
      </c>
      <c r="G13" s="18">
        <v>20402.849999999999</v>
      </c>
      <c r="H13" s="18">
        <v>563753.32999999996</v>
      </c>
      <c r="I13" s="18"/>
      <c r="J13" s="67">
        <f>SUM(I434)</f>
        <v>632399.68000000005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27491.62+1563.73+800</f>
        <v>29855.35</v>
      </c>
      <c r="G14" s="18">
        <v>1483.02</v>
      </c>
      <c r="H14" s="18">
        <v>2275.04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10519.55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3645581.5700000003</v>
      </c>
      <c r="G19" s="41">
        <f>SUM(G9:G18)</f>
        <v>86299.07</v>
      </c>
      <c r="H19" s="41">
        <f>SUM(H9:H18)</f>
        <v>566028.37</v>
      </c>
      <c r="I19" s="41">
        <f>SUM(I9:I18)</f>
        <v>491268.15</v>
      </c>
      <c r="J19" s="41">
        <f>SUM(J9:J18)</f>
        <v>632399.68000000005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248558.09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33805.58-10053.15</f>
        <v>23752.43</v>
      </c>
      <c r="G25" s="18">
        <v>3917.83</v>
      </c>
      <c r="H25" s="18">
        <v>3951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1677930.78</v>
      </c>
      <c r="G29" s="18">
        <v>53114.11</v>
      </c>
      <c r="H29" s="18">
        <v>94943</v>
      </c>
      <c r="I29" s="18">
        <v>205791.66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28175.47</f>
        <v>28175.47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12131.89</v>
      </c>
      <c r="H31" s="18">
        <v>201344.15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1729858.68</v>
      </c>
      <c r="G33" s="41">
        <f>SUM(G23:G32)</f>
        <v>69163.83</v>
      </c>
      <c r="H33" s="41">
        <f>SUM(H23:H32)</f>
        <v>548796.24</v>
      </c>
      <c r="I33" s="41">
        <f>SUM(I23:I32)</f>
        <v>205791.66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10519.55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65644.86</v>
      </c>
      <c r="G41" s="18">
        <f>1420.14+5195.55</f>
        <v>6615.6900000000005</v>
      </c>
      <c r="H41" s="18">
        <v>17232.13</v>
      </c>
      <c r="I41" s="18">
        <f>328987.83-43511.34</f>
        <v>285476.49</v>
      </c>
      <c r="J41" s="13">
        <f>SUM(I449)</f>
        <v>632399.68000000005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1370567.83+479510.2</f>
        <v>1850078.03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1915722.8900000001</v>
      </c>
      <c r="G43" s="41">
        <f>SUM(G35:G42)</f>
        <v>17135.239999999998</v>
      </c>
      <c r="H43" s="41">
        <f>SUM(H35:H42)</f>
        <v>17232.13</v>
      </c>
      <c r="I43" s="41">
        <f>SUM(I35:I42)</f>
        <v>285476.49</v>
      </c>
      <c r="J43" s="41">
        <f>SUM(J35:J42)</f>
        <v>632399.68000000005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3645581.5700000003</v>
      </c>
      <c r="G44" s="41">
        <f>G43+G33</f>
        <v>86299.07</v>
      </c>
      <c r="H44" s="41">
        <f>H43+H33</f>
        <v>566028.37</v>
      </c>
      <c r="I44" s="41">
        <f>I43+I33</f>
        <v>491268.15</v>
      </c>
      <c r="J44" s="41">
        <f>J43+J33</f>
        <v>632399.68000000005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4548744+2844356+5809961+1604575+2073489</f>
        <v>16881125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114024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16995149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1027129.8-40</f>
        <v>1027089.8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255314.26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1282404.06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1966.5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6796.75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8763.25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1772.25+1457.81</f>
        <v>3230.06</v>
      </c>
      <c r="G88" s="18">
        <v>191.25</v>
      </c>
      <c r="H88" s="18"/>
      <c r="I88" s="18">
        <f>399.96+17846.23</f>
        <v>18246.189999999999</v>
      </c>
      <c r="J88" s="18">
        <v>5311.3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48297.21+31847.05+57764.03+14796.15+18938.51+178435.69+336669.74+21429.69</f>
        <v>708178.07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19911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54405.56+36911.09</f>
        <v>91316.65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25059.94</v>
      </c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25387.22</v>
      </c>
      <c r="G102" s="18"/>
      <c r="H102" s="18">
        <f>83685+6.1+137025.41</f>
        <v>220716.51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73588.22</v>
      </c>
      <c r="G103" s="41">
        <f>SUM(G88:G102)</f>
        <v>708369.32</v>
      </c>
      <c r="H103" s="41">
        <f>SUM(H88:H102)</f>
        <v>312033.16000000003</v>
      </c>
      <c r="I103" s="41">
        <f>SUM(I88:I102)</f>
        <v>18246.189999999999</v>
      </c>
      <c r="J103" s="41">
        <f>SUM(J88:J102)</f>
        <v>5311.3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18359904.529999997</v>
      </c>
      <c r="G104" s="41">
        <f>G52+G103</f>
        <v>708369.32</v>
      </c>
      <c r="H104" s="41">
        <f>H52+H71+H86+H103</f>
        <v>312033.16000000003</v>
      </c>
      <c r="I104" s="41">
        <f>I52+I103</f>
        <v>18246.189999999999</v>
      </c>
      <c r="J104" s="41">
        <f>J52+J103</f>
        <v>5311.3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7021062.4800000004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3432427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2693764.52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13147254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2012548.44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170461.44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18035.2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13535.53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2201045.08</v>
      </c>
      <c r="G128" s="41">
        <f>SUM(G115:G127)</f>
        <v>13535.53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15348299.08</v>
      </c>
      <c r="G132" s="41">
        <f>G113+SUM(G128:G129)</f>
        <v>13535.53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606277.4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355876.9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337201.54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685103.59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246255.75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38705.120000000003</v>
      </c>
      <c r="H153" s="18">
        <v>10683.43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246255.75</v>
      </c>
      <c r="G154" s="41">
        <f>SUM(G142:G153)</f>
        <v>375906.66</v>
      </c>
      <c r="H154" s="41">
        <f>SUM(H142:H153)</f>
        <v>1657941.32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246255.75</v>
      </c>
      <c r="G161" s="41">
        <f>G139+G154+SUM(G155:G160)</f>
        <v>375906.66</v>
      </c>
      <c r="H161" s="41">
        <f>H139+H154+SUM(H155:H160)</f>
        <v>1657941.32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33954459.359999999</v>
      </c>
      <c r="G185" s="47">
        <f>G104+G132+G161+G184</f>
        <v>1097811.51</v>
      </c>
      <c r="H185" s="47">
        <f>H104+H132+H161+H184</f>
        <v>1969974.48</v>
      </c>
      <c r="I185" s="47">
        <f>I104+I132+I161+I184</f>
        <v>18246.189999999999</v>
      </c>
      <c r="J185" s="47">
        <f>J104+J132+J184</f>
        <v>55311.3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3733103.24</v>
      </c>
      <c r="G189" s="18">
        <v>1304553.97</v>
      </c>
      <c r="H189" s="18">
        <f>1594+60+1527.29</f>
        <v>3181.29</v>
      </c>
      <c r="I189" s="18">
        <f>205925.87-0.01</f>
        <v>205925.86</v>
      </c>
      <c r="J189" s="18">
        <v>7268.98</v>
      </c>
      <c r="K189" s="18"/>
      <c r="L189" s="19">
        <f>SUM(F189:K189)</f>
        <v>5254033.3400000008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1562530.68</v>
      </c>
      <c r="G190" s="18">
        <v>563069.77</v>
      </c>
      <c r="H190" s="18">
        <f>34118.01+185.77+276844.69</f>
        <v>311148.46999999997</v>
      </c>
      <c r="I190" s="18">
        <v>8238.02</v>
      </c>
      <c r="J190" s="18">
        <v>1531.57</v>
      </c>
      <c r="K190" s="18"/>
      <c r="L190" s="19">
        <f>SUM(F190:K190)</f>
        <v>2446518.5099999998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10100</v>
      </c>
      <c r="G192" s="18">
        <v>20574.38</v>
      </c>
      <c r="H192" s="18"/>
      <c r="I192" s="18"/>
      <c r="J192" s="18"/>
      <c r="K192" s="18">
        <v>105.8</v>
      </c>
      <c r="L192" s="19">
        <f>SUM(F192:K192)</f>
        <v>30780.18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921274.84</v>
      </c>
      <c r="G194" s="18">
        <v>327139.09999999998</v>
      </c>
      <c r="H194" s="18">
        <f>269373.37+46.48+3350.56</f>
        <v>272770.40999999997</v>
      </c>
      <c r="I194" s="18">
        <v>7503.82</v>
      </c>
      <c r="J194" s="18"/>
      <c r="K194" s="18">
        <v>695.51</v>
      </c>
      <c r="L194" s="19">
        <f t="shared" ref="L194:L200" si="0">SUM(F194:K194)</f>
        <v>1529383.68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193184.33</v>
      </c>
      <c r="G195" s="18">
        <v>117834.3</v>
      </c>
      <c r="H195" s="18">
        <f>28667.46+13566.39+1397.1</f>
        <v>43630.95</v>
      </c>
      <c r="I195" s="18">
        <v>31643.05</v>
      </c>
      <c r="J195" s="18">
        <v>44144.54</v>
      </c>
      <c r="K195" s="18"/>
      <c r="L195" s="19">
        <f t="shared" si="0"/>
        <v>430437.17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19432.52</v>
      </c>
      <c r="G196" s="18">
        <v>8103.79</v>
      </c>
      <c r="H196" s="18">
        <f>324654.33+11674.84</f>
        <v>336329.17000000004</v>
      </c>
      <c r="I196" s="18">
        <v>1181.18</v>
      </c>
      <c r="J196" s="18"/>
      <c r="K196" s="18">
        <v>2362.06</v>
      </c>
      <c r="L196" s="19">
        <f t="shared" si="0"/>
        <v>367408.72000000003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500452.89</v>
      </c>
      <c r="G197" s="18">
        <v>153177.4</v>
      </c>
      <c r="H197" s="18">
        <f>564+24819.85+7274.74</f>
        <v>32658.589999999997</v>
      </c>
      <c r="I197" s="18">
        <v>5375.52</v>
      </c>
      <c r="J197" s="18">
        <v>27136.38</v>
      </c>
      <c r="K197" s="18">
        <v>1612</v>
      </c>
      <c r="L197" s="19">
        <f t="shared" si="0"/>
        <v>720412.78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1280.1199999999999</v>
      </c>
      <c r="I198" s="18"/>
      <c r="J198" s="18"/>
      <c r="K198" s="18"/>
      <c r="L198" s="19">
        <f t="shared" si="0"/>
        <v>1280.1199999999999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540164.6</v>
      </c>
      <c r="G199" s="18">
        <v>215625.82</v>
      </c>
      <c r="H199" s="18">
        <f>499.35+225027.12+64836.15</f>
        <v>290362.62</v>
      </c>
      <c r="I199" s="18">
        <v>413832.84</v>
      </c>
      <c r="J199" s="18">
        <v>14783.1</v>
      </c>
      <c r="K199" s="18"/>
      <c r="L199" s="19">
        <f t="shared" si="0"/>
        <v>1474768.98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368378.25</v>
      </c>
      <c r="G200" s="18">
        <v>166072.01</v>
      </c>
      <c r="H200" s="18">
        <f>26040.38+25205.26</f>
        <v>51245.64</v>
      </c>
      <c r="I200" s="18">
        <v>82559.710000000006</v>
      </c>
      <c r="J200" s="18">
        <f>119804.19-234.71</f>
        <v>119569.48</v>
      </c>
      <c r="K200" s="18">
        <v>260.26</v>
      </c>
      <c r="L200" s="19">
        <f t="shared" si="0"/>
        <v>788085.35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7848621.3499999987</v>
      </c>
      <c r="G203" s="41">
        <f t="shared" si="1"/>
        <v>2876150.5399999991</v>
      </c>
      <c r="H203" s="41">
        <f t="shared" si="1"/>
        <v>1342607.2599999998</v>
      </c>
      <c r="I203" s="41">
        <f t="shared" si="1"/>
        <v>756260</v>
      </c>
      <c r="J203" s="41">
        <f t="shared" si="1"/>
        <v>214434.05</v>
      </c>
      <c r="K203" s="41">
        <f t="shared" si="1"/>
        <v>5035.63</v>
      </c>
      <c r="L203" s="41">
        <f t="shared" si="1"/>
        <v>13043108.83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2234379.29</v>
      </c>
      <c r="G207" s="18">
        <v>705571.4</v>
      </c>
      <c r="H207" s="18">
        <f>4690+3245.97</f>
        <v>7935.9699999999993</v>
      </c>
      <c r="I207" s="18">
        <f>96616.72+0.03</f>
        <v>96616.75</v>
      </c>
      <c r="J207" s="18">
        <f>17860.95</f>
        <v>17860.95</v>
      </c>
      <c r="K207" s="18"/>
      <c r="L207" s="19">
        <f>SUM(F207:K207)</f>
        <v>3062364.3600000003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521369.57</v>
      </c>
      <c r="G208" s="18">
        <v>314494.44</v>
      </c>
      <c r="H208" s="18">
        <f>8038.87+103.76+133687.82</f>
        <v>141830.45000000001</v>
      </c>
      <c r="I208" s="18">
        <v>5011.4399999999996</v>
      </c>
      <c r="J208" s="18">
        <v>1386.59</v>
      </c>
      <c r="K208" s="18"/>
      <c r="L208" s="19">
        <f>SUM(F208:K208)</f>
        <v>984092.48999999987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60232.5</v>
      </c>
      <c r="G210" s="18">
        <v>11491.52</v>
      </c>
      <c r="H210" s="18"/>
      <c r="I210" s="18">
        <v>38052.17</v>
      </c>
      <c r="J210" s="18"/>
      <c r="K210" s="18">
        <v>59.09</v>
      </c>
      <c r="L210" s="19">
        <f>SUM(F210:K210)</f>
        <v>109835.28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545730.53</v>
      </c>
      <c r="G212" s="18">
        <v>182718.79</v>
      </c>
      <c r="H212" s="18">
        <f>128729.1+25.96+2271.41</f>
        <v>131026.47000000002</v>
      </c>
      <c r="I212" s="18">
        <v>2789.9</v>
      </c>
      <c r="J212" s="18">
        <v>487.88</v>
      </c>
      <c r="K212" s="18">
        <v>466.12</v>
      </c>
      <c r="L212" s="19">
        <f t="shared" ref="L212:L218" si="2">SUM(F212:K212)</f>
        <v>863219.69000000006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129405.5</v>
      </c>
      <c r="G213" s="18">
        <v>65814.64</v>
      </c>
      <c r="H213" s="18">
        <f>16011.79+7032.4+780.33</f>
        <v>23824.520000000004</v>
      </c>
      <c r="I213" s="18">
        <v>21553.040000000001</v>
      </c>
      <c r="J213" s="18">
        <v>27353.62</v>
      </c>
      <c r="K213" s="18">
        <v>27.5</v>
      </c>
      <c r="L213" s="19">
        <f t="shared" si="2"/>
        <v>267978.82000000007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10853.75</v>
      </c>
      <c r="G214" s="18">
        <v>4526.25</v>
      </c>
      <c r="H214" s="18">
        <f>181225.4+6520.81</f>
        <v>187746.21</v>
      </c>
      <c r="I214" s="18">
        <v>659.73</v>
      </c>
      <c r="J214" s="18"/>
      <c r="K214" s="18">
        <v>1319.3</v>
      </c>
      <c r="L214" s="19">
        <f t="shared" si="2"/>
        <v>205105.24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247986.48</v>
      </c>
      <c r="G215" s="18">
        <v>85555.01</v>
      </c>
      <c r="H215" s="18">
        <f>450+10519+7610.26</f>
        <v>18579.260000000002</v>
      </c>
      <c r="I215" s="18">
        <v>410.46</v>
      </c>
      <c r="J215" s="18">
        <v>15156.63</v>
      </c>
      <c r="K215" s="18">
        <v>1514</v>
      </c>
      <c r="L215" s="19">
        <f t="shared" si="2"/>
        <v>369201.84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714.99</v>
      </c>
      <c r="I216" s="18"/>
      <c r="J216" s="18"/>
      <c r="K216" s="18"/>
      <c r="L216" s="19">
        <f t="shared" si="2"/>
        <v>714.99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223705.86</v>
      </c>
      <c r="G217" s="18">
        <v>120434.67</v>
      </c>
      <c r="H217" s="18">
        <f>278.91+117111.63+38002.62</f>
        <v>155393.16</v>
      </c>
      <c r="I217" s="18">
        <v>127284.45</v>
      </c>
      <c r="J217" s="18">
        <v>8256.89</v>
      </c>
      <c r="K217" s="18"/>
      <c r="L217" s="19">
        <f t="shared" si="2"/>
        <v>635075.02999999991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213585.87</v>
      </c>
      <c r="G218" s="18">
        <v>93332.77</v>
      </c>
      <c r="H218" s="18">
        <f>14544.47+14078.03</f>
        <v>28622.5</v>
      </c>
      <c r="I218" s="18">
        <v>46112.53</v>
      </c>
      <c r="J218" s="18">
        <f>66914.89-131.07-0.01</f>
        <v>66783.81</v>
      </c>
      <c r="K218" s="18">
        <v>145.36000000000001</v>
      </c>
      <c r="L218" s="19">
        <f t="shared" si="2"/>
        <v>448582.84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4187249.3499999996</v>
      </c>
      <c r="G221" s="41">
        <f>SUM(G207:G220)</f>
        <v>1583939.49</v>
      </c>
      <c r="H221" s="41">
        <f>SUM(H207:H220)</f>
        <v>695673.53</v>
      </c>
      <c r="I221" s="41">
        <f>SUM(I207:I220)</f>
        <v>338490.47</v>
      </c>
      <c r="J221" s="41">
        <f>SUM(J207:J220)</f>
        <v>137286.37</v>
      </c>
      <c r="K221" s="41">
        <f t="shared" si="3"/>
        <v>3531.3700000000003</v>
      </c>
      <c r="L221" s="41">
        <f t="shared" si="3"/>
        <v>6946170.580000001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2359453.71</v>
      </c>
      <c r="G225" s="18">
        <v>1016317.54</v>
      </c>
      <c r="H225" s="18">
        <f>3402.98+9217.82+0.06</f>
        <v>12620.859999999999</v>
      </c>
      <c r="I225" s="18">
        <v>150941.85999999999</v>
      </c>
      <c r="J225" s="18">
        <v>18061.310000000001</v>
      </c>
      <c r="K225" s="18"/>
      <c r="L225" s="19">
        <f>SUM(F225:K225)</f>
        <v>3557395.28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953830.83</v>
      </c>
      <c r="G226" s="18">
        <v>453048.84</v>
      </c>
      <c r="H226" s="18">
        <f>6959.87+149.46+417784.88</f>
        <v>424894.21</v>
      </c>
      <c r="I226" s="18">
        <v>8271.2900000000009</v>
      </c>
      <c r="J226" s="18">
        <v>1861.09</v>
      </c>
      <c r="K226" s="18"/>
      <c r="L226" s="19">
        <f>SUM(F226:K226)</f>
        <v>1841906.26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129293.78</v>
      </c>
      <c r="I227" s="18"/>
      <c r="J227" s="18"/>
      <c r="K227" s="18"/>
      <c r="L227" s="19">
        <f>SUM(F227:K227)</f>
        <v>129293.78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246845.13</v>
      </c>
      <c r="G228" s="18">
        <v>16552.59</v>
      </c>
      <c r="H228" s="18">
        <f>34949.17+630</f>
        <v>35579.17</v>
      </c>
      <c r="I228" s="18">
        <v>37250</v>
      </c>
      <c r="J228" s="18"/>
      <c r="K228" s="18">
        <v>3893.11</v>
      </c>
      <c r="L228" s="19">
        <f>SUM(F228:K228)</f>
        <v>340120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685332.62</v>
      </c>
      <c r="G230" s="18">
        <v>263191.39</v>
      </c>
      <c r="H230" s="18">
        <f>137841.56+177.24+2695.61</f>
        <v>140714.40999999997</v>
      </c>
      <c r="I230" s="18">
        <v>11179.42</v>
      </c>
      <c r="J230" s="18">
        <v>439.9</v>
      </c>
      <c r="K230" s="18">
        <v>527.37</v>
      </c>
      <c r="L230" s="19">
        <f t="shared" ref="L230:L236" si="4">SUM(F230:K230)</f>
        <v>1101385.1099999999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184101.49</v>
      </c>
      <c r="G231" s="18">
        <v>94800.57</v>
      </c>
      <c r="H231" s="18">
        <f>23063.67+10167.49+1124</f>
        <v>34355.159999999996</v>
      </c>
      <c r="I231" s="18">
        <v>29118.15</v>
      </c>
      <c r="J231" s="18">
        <v>37556.550000000003</v>
      </c>
      <c r="K231" s="18"/>
      <c r="L231" s="19">
        <f t="shared" si="4"/>
        <v>379931.92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15633.94</v>
      </c>
      <c r="G232" s="18">
        <v>6519.7</v>
      </c>
      <c r="H232" s="18">
        <f>261250.27+9392.69</f>
        <v>270642.95999999996</v>
      </c>
      <c r="I232" s="18">
        <v>950.29</v>
      </c>
      <c r="J232" s="18"/>
      <c r="K232" s="18">
        <v>1900.34</v>
      </c>
      <c r="L232" s="19">
        <f t="shared" si="4"/>
        <v>295647.23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324164.12</v>
      </c>
      <c r="G233" s="18">
        <v>123234.95</v>
      </c>
      <c r="H233" s="18">
        <f>842.88+15053.24+9801.49</f>
        <v>25697.61</v>
      </c>
      <c r="I233" s="18">
        <v>9694.82</v>
      </c>
      <c r="J233" s="18">
        <v>21831.88</v>
      </c>
      <c r="K233" s="18">
        <v>15668</v>
      </c>
      <c r="L233" s="19">
        <f t="shared" si="4"/>
        <v>520291.38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1029.8900000000001</v>
      </c>
      <c r="I234" s="18"/>
      <c r="J234" s="18"/>
      <c r="K234" s="18"/>
      <c r="L234" s="19">
        <f t="shared" si="4"/>
        <v>1029.8900000000001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403630.99</v>
      </c>
      <c r="G235" s="18">
        <v>173476.23</v>
      </c>
      <c r="H235" s="18">
        <f>401.74+144529.28+64567.18</f>
        <v>209498.19999999998</v>
      </c>
      <c r="I235" s="18">
        <v>227592.8</v>
      </c>
      <c r="J235" s="18">
        <v>11893.36</v>
      </c>
      <c r="K235" s="18"/>
      <c r="L235" s="19">
        <f t="shared" si="4"/>
        <v>1026091.58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345680.46</v>
      </c>
      <c r="G236" s="18">
        <v>134184.65</v>
      </c>
      <c r="H236" s="18">
        <f>20950.12+20278.25</f>
        <v>41228.369999999995</v>
      </c>
      <c r="I236" s="18">
        <v>66421.3</v>
      </c>
      <c r="J236" s="18">
        <f>96385.4+365.8-0.01</f>
        <v>96751.19</v>
      </c>
      <c r="K236" s="18">
        <v>209.38</v>
      </c>
      <c r="L236" s="19">
        <f t="shared" si="4"/>
        <v>684475.35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5518673.290000001</v>
      </c>
      <c r="G239" s="41">
        <f t="shared" si="5"/>
        <v>2281326.4600000004</v>
      </c>
      <c r="H239" s="41">
        <f t="shared" si="5"/>
        <v>1325554.6199999996</v>
      </c>
      <c r="I239" s="41">
        <f t="shared" si="5"/>
        <v>541419.93000000005</v>
      </c>
      <c r="J239" s="41">
        <f t="shared" si="5"/>
        <v>188395.28000000003</v>
      </c>
      <c r="K239" s="41">
        <f t="shared" si="5"/>
        <v>22198.2</v>
      </c>
      <c r="L239" s="41">
        <f t="shared" si="5"/>
        <v>9877567.7799999993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67328.58+54704.33+29525.31</f>
        <v>151558.22</v>
      </c>
      <c r="I247" s="18"/>
      <c r="J247" s="18"/>
      <c r="K247" s="18"/>
      <c r="L247" s="19">
        <f t="shared" si="6"/>
        <v>151558.22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151558.22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151558.22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17554543.990000002</v>
      </c>
      <c r="G249" s="41">
        <f t="shared" si="8"/>
        <v>6741416.4900000002</v>
      </c>
      <c r="H249" s="41">
        <f t="shared" si="8"/>
        <v>3515393.6299999994</v>
      </c>
      <c r="I249" s="41">
        <f t="shared" si="8"/>
        <v>1636170.4</v>
      </c>
      <c r="J249" s="41">
        <f t="shared" si="8"/>
        <v>540115.69999999995</v>
      </c>
      <c r="K249" s="41">
        <f t="shared" si="8"/>
        <v>30765.200000000001</v>
      </c>
      <c r="L249" s="41">
        <f t="shared" si="8"/>
        <v>30018405.409999996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2975000</v>
      </c>
      <c r="L252" s="19">
        <f>SUM(F252:K252)</f>
        <v>2975000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431543.75</v>
      </c>
      <c r="L253" s="19">
        <f>SUM(F253:K253)</f>
        <v>431543.75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3456543.75</v>
      </c>
      <c r="L262" s="41">
        <f t="shared" si="9"/>
        <v>3456543.75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17554543.990000002</v>
      </c>
      <c r="G263" s="42">
        <f t="shared" si="11"/>
        <v>6741416.4900000002</v>
      </c>
      <c r="H263" s="42">
        <f t="shared" si="11"/>
        <v>3515393.6299999994</v>
      </c>
      <c r="I263" s="42">
        <f t="shared" si="11"/>
        <v>1636170.4</v>
      </c>
      <c r="J263" s="42">
        <f t="shared" si="11"/>
        <v>540115.69999999995</v>
      </c>
      <c r="K263" s="42">
        <f t="shared" si="11"/>
        <v>3487308.95</v>
      </c>
      <c r="L263" s="42">
        <f t="shared" si="11"/>
        <v>33474949.159999996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20095.990000000002</v>
      </c>
      <c r="G268" s="18">
        <v>3021.26</v>
      </c>
      <c r="H268" s="18">
        <v>40053.47</v>
      </c>
      <c r="I268" s="18"/>
      <c r="J268" s="18">
        <v>5659.46</v>
      </c>
      <c r="K268" s="18"/>
      <c r="L268" s="19">
        <f>SUM(F268:K268)</f>
        <v>68830.180000000008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403135.43</v>
      </c>
      <c r="G269" s="18">
        <v>80793.570000000007</v>
      </c>
      <c r="H269" s="18">
        <f>21620.85+2930.31</f>
        <v>24551.16</v>
      </c>
      <c r="I269" s="18">
        <v>38519.440000000002</v>
      </c>
      <c r="J269" s="18">
        <v>30801.87</v>
      </c>
      <c r="K269" s="18"/>
      <c r="L269" s="19">
        <f>SUM(F269:K269)</f>
        <v>577801.47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11600</v>
      </c>
      <c r="G271" s="18">
        <v>648.13</v>
      </c>
      <c r="H271" s="18">
        <v>1161.42</v>
      </c>
      <c r="I271" s="18">
        <v>397.33</v>
      </c>
      <c r="J271" s="18"/>
      <c r="K271" s="18"/>
      <c r="L271" s="19">
        <f>SUM(F271:K271)</f>
        <v>13806.88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59399.99</v>
      </c>
      <c r="G273" s="18">
        <v>15620.32</v>
      </c>
      <c r="H273" s="18">
        <v>28788.92</v>
      </c>
      <c r="I273" s="18">
        <v>928.62</v>
      </c>
      <c r="J273" s="18"/>
      <c r="K273" s="18"/>
      <c r="L273" s="19">
        <f t="shared" ref="L273:L279" si="12">SUM(F273:K273)</f>
        <v>104737.84999999999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7716.44</v>
      </c>
      <c r="G274" s="18">
        <v>3205.92</v>
      </c>
      <c r="H274" s="18">
        <f>163655.07+7276.93+2373.54</f>
        <v>173305.54</v>
      </c>
      <c r="I274" s="18">
        <v>11772.29</v>
      </c>
      <c r="J274" s="18">
        <v>2801.28</v>
      </c>
      <c r="K274" s="18"/>
      <c r="L274" s="19">
        <f t="shared" si="12"/>
        <v>198801.47000000003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15216.24</v>
      </c>
      <c r="G275" s="18">
        <v>8728.93</v>
      </c>
      <c r="H275" s="18"/>
      <c r="I275" s="18"/>
      <c r="J275" s="18"/>
      <c r="K275" s="18"/>
      <c r="L275" s="19">
        <f t="shared" si="12"/>
        <v>23945.17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753.26</v>
      </c>
      <c r="I276" s="18"/>
      <c r="J276" s="18">
        <v>870.48</v>
      </c>
      <c r="K276" s="18"/>
      <c r="L276" s="19">
        <f t="shared" si="12"/>
        <v>1623.74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8560.4500000000007</v>
      </c>
      <c r="L277" s="19">
        <f t="shared" si="12"/>
        <v>8560.4500000000007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35413.83</v>
      </c>
      <c r="I278" s="18"/>
      <c r="J278" s="18"/>
      <c r="K278" s="18"/>
      <c r="L278" s="19">
        <f t="shared" si="12"/>
        <v>35413.83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517164.08999999997</v>
      </c>
      <c r="G282" s="42">
        <f t="shared" si="13"/>
        <v>112018.13</v>
      </c>
      <c r="H282" s="42">
        <f t="shared" si="13"/>
        <v>304027.60000000003</v>
      </c>
      <c r="I282" s="42">
        <f t="shared" si="13"/>
        <v>51617.680000000008</v>
      </c>
      <c r="J282" s="42">
        <f t="shared" si="13"/>
        <v>40133.090000000004</v>
      </c>
      <c r="K282" s="42">
        <f t="shared" si="13"/>
        <v>8560.4500000000007</v>
      </c>
      <c r="L282" s="41">
        <f t="shared" si="13"/>
        <v>1033521.04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2916.7</v>
      </c>
      <c r="G287" s="18">
        <v>1687.48</v>
      </c>
      <c r="H287" s="18">
        <v>22371.279999999999</v>
      </c>
      <c r="I287" s="18"/>
      <c r="J287" s="18">
        <v>3161.01</v>
      </c>
      <c r="K287" s="18"/>
      <c r="L287" s="19">
        <f>SUM(F287:K287)</f>
        <v>30136.47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111300.02</v>
      </c>
      <c r="G288" s="18">
        <v>44740.03</v>
      </c>
      <c r="H288" s="18">
        <f>3680.5+1636.68</f>
        <v>5317.18</v>
      </c>
      <c r="I288" s="18">
        <v>14231.42</v>
      </c>
      <c r="J288" s="18">
        <v>13163.48</v>
      </c>
      <c r="K288" s="18"/>
      <c r="L288" s="19">
        <f>SUM(F288:K288)</f>
        <v>188752.13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>
        <v>362</v>
      </c>
      <c r="H290" s="18"/>
      <c r="I290" s="18"/>
      <c r="J290" s="18"/>
      <c r="K290" s="18"/>
      <c r="L290" s="19">
        <f>SUM(F290:K290)</f>
        <v>362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33177</v>
      </c>
      <c r="G292" s="18">
        <v>8724.5</v>
      </c>
      <c r="H292" s="18">
        <v>19442.740000000002</v>
      </c>
      <c r="I292" s="18">
        <v>179.9</v>
      </c>
      <c r="J292" s="18"/>
      <c r="K292" s="18"/>
      <c r="L292" s="19">
        <f t="shared" ref="L292:L298" si="14">SUM(F292:K292)</f>
        <v>61524.140000000007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8699.9</v>
      </c>
      <c r="G293" s="18">
        <v>1790.62</v>
      </c>
      <c r="H293" s="18">
        <f>91407.17+4064.42+1325.71</f>
        <v>96797.3</v>
      </c>
      <c r="I293" s="18">
        <v>6575.24</v>
      </c>
      <c r="J293" s="18">
        <v>1564.64</v>
      </c>
      <c r="K293" s="18"/>
      <c r="L293" s="19">
        <f t="shared" si="14"/>
        <v>115427.70000000001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8498.81</v>
      </c>
      <c r="G294" s="18">
        <v>4875.42</v>
      </c>
      <c r="H294" s="18"/>
      <c r="I294" s="18"/>
      <c r="J294" s="18"/>
      <c r="K294" s="18"/>
      <c r="L294" s="19">
        <f t="shared" si="14"/>
        <v>13374.23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>
        <v>420.72</v>
      </c>
      <c r="I295" s="18"/>
      <c r="J295" s="18">
        <v>486.19</v>
      </c>
      <c r="K295" s="18"/>
      <c r="L295" s="19">
        <f t="shared" si="14"/>
        <v>906.91000000000008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4781.32</v>
      </c>
      <c r="L296" s="19">
        <f t="shared" si="14"/>
        <v>4781.32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v>19779.88</v>
      </c>
      <c r="I297" s="18"/>
      <c r="J297" s="18"/>
      <c r="K297" s="18"/>
      <c r="L297" s="19">
        <f t="shared" si="14"/>
        <v>19779.88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164592.43</v>
      </c>
      <c r="G301" s="42">
        <f t="shared" si="15"/>
        <v>62180.05</v>
      </c>
      <c r="H301" s="42">
        <f t="shared" si="15"/>
        <v>164129.1</v>
      </c>
      <c r="I301" s="42">
        <f t="shared" si="15"/>
        <v>20986.559999999998</v>
      </c>
      <c r="J301" s="42">
        <f t="shared" si="15"/>
        <v>18375.32</v>
      </c>
      <c r="K301" s="42">
        <f t="shared" si="15"/>
        <v>4781.32</v>
      </c>
      <c r="L301" s="41">
        <f t="shared" si="15"/>
        <v>435044.77999999997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4201.26</v>
      </c>
      <c r="G306" s="18">
        <v>2430.6799999999998</v>
      </c>
      <c r="H306" s="18">
        <f>32223.99+0.02</f>
        <v>32224.010000000002</v>
      </c>
      <c r="I306" s="18"/>
      <c r="J306" s="18">
        <v>4553.17</v>
      </c>
      <c r="K306" s="18"/>
      <c r="L306" s="19">
        <f>SUM(F306:K306)</f>
        <v>43409.120000000003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1306.4100000000001</v>
      </c>
      <c r="G307" s="18">
        <v>64444.34</v>
      </c>
      <c r="H307" s="18">
        <f>5301.46+2357.51</f>
        <v>7658.97</v>
      </c>
      <c r="I307" s="18">
        <v>20314.650000000001</v>
      </c>
      <c r="J307" s="18">
        <v>18960.919999999998</v>
      </c>
      <c r="K307" s="18"/>
      <c r="L307" s="19">
        <f>SUM(F307:K307)</f>
        <v>112685.29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>
        <v>521.44000000000005</v>
      </c>
      <c r="H309" s="18"/>
      <c r="I309" s="18"/>
      <c r="J309" s="18"/>
      <c r="K309" s="18"/>
      <c r="L309" s="19">
        <f>SUM(F309:K309)</f>
        <v>521.44000000000005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47788.74</v>
      </c>
      <c r="G311" s="18">
        <v>12566.93</v>
      </c>
      <c r="H311" s="18">
        <v>46186.74</v>
      </c>
      <c r="I311" s="18"/>
      <c r="J311" s="18"/>
      <c r="K311" s="18"/>
      <c r="L311" s="19">
        <f t="shared" ref="L311:L317" si="16">SUM(F311:K311)</f>
        <v>106542.41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6208.06</v>
      </c>
      <c r="G312" s="18">
        <v>2579.2399999999998</v>
      </c>
      <c r="H312" s="18">
        <f>131664.5+5854.47+1909.57</f>
        <v>139428.54</v>
      </c>
      <c r="I312" s="18">
        <v>9471.1</v>
      </c>
      <c r="J312" s="18">
        <v>2253.6999999999998</v>
      </c>
      <c r="K312" s="18"/>
      <c r="L312" s="19">
        <f t="shared" si="16"/>
        <v>159940.64000000001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12241.83</v>
      </c>
      <c r="G313" s="18">
        <v>7022.64</v>
      </c>
      <c r="H313" s="18"/>
      <c r="I313" s="18"/>
      <c r="J313" s="18"/>
      <c r="K313" s="18"/>
      <c r="L313" s="19">
        <f t="shared" si="16"/>
        <v>19264.47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606.02</v>
      </c>
      <c r="I314" s="18"/>
      <c r="J314" s="18">
        <v>700.32</v>
      </c>
      <c r="K314" s="18"/>
      <c r="L314" s="19">
        <f t="shared" si="16"/>
        <v>1306.3400000000001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6887.09</v>
      </c>
      <c r="L315" s="19">
        <f t="shared" si="16"/>
        <v>6887.09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28491.29</v>
      </c>
      <c r="I316" s="18"/>
      <c r="J316" s="18"/>
      <c r="K316" s="18"/>
      <c r="L316" s="19">
        <f t="shared" si="16"/>
        <v>28491.29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71746.299999999988</v>
      </c>
      <c r="G320" s="42">
        <f t="shared" si="17"/>
        <v>89565.26999999999</v>
      </c>
      <c r="H320" s="42">
        <f t="shared" si="17"/>
        <v>254595.57</v>
      </c>
      <c r="I320" s="42">
        <f t="shared" si="17"/>
        <v>29785.75</v>
      </c>
      <c r="J320" s="42">
        <f t="shared" si="17"/>
        <v>26468.109999999997</v>
      </c>
      <c r="K320" s="42">
        <f t="shared" si="17"/>
        <v>6887.09</v>
      </c>
      <c r="L320" s="41">
        <f t="shared" si="17"/>
        <v>479048.09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7644.75+9437.5</f>
        <v>17082.25</v>
      </c>
      <c r="G327" s="18">
        <f>1300.78+1255.64</f>
        <v>2556.42</v>
      </c>
      <c r="H327" s="18"/>
      <c r="I327" s="18">
        <v>2721.9</v>
      </c>
      <c r="J327" s="18"/>
      <c r="K327" s="18"/>
      <c r="L327" s="19">
        <f t="shared" si="18"/>
        <v>22360.57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17082.25</v>
      </c>
      <c r="G329" s="41">
        <f t="shared" si="19"/>
        <v>2556.42</v>
      </c>
      <c r="H329" s="41">
        <f t="shared" si="19"/>
        <v>0</v>
      </c>
      <c r="I329" s="41">
        <f t="shared" si="19"/>
        <v>2721.9</v>
      </c>
      <c r="J329" s="41">
        <f t="shared" si="19"/>
        <v>0</v>
      </c>
      <c r="K329" s="41">
        <f t="shared" si="19"/>
        <v>0</v>
      </c>
      <c r="L329" s="41">
        <f t="shared" si="18"/>
        <v>22360.57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770585.07000000007</v>
      </c>
      <c r="G330" s="41">
        <f t="shared" si="20"/>
        <v>266319.86999999994</v>
      </c>
      <c r="H330" s="41">
        <f t="shared" si="20"/>
        <v>722752.27</v>
      </c>
      <c r="I330" s="41">
        <f t="shared" si="20"/>
        <v>105111.89</v>
      </c>
      <c r="J330" s="41">
        <f t="shared" si="20"/>
        <v>84976.52</v>
      </c>
      <c r="K330" s="41">
        <f t="shared" si="20"/>
        <v>20228.86</v>
      </c>
      <c r="L330" s="41">
        <f t="shared" si="20"/>
        <v>1969974.4800000002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770585.07000000007</v>
      </c>
      <c r="G344" s="41">
        <f>G330</f>
        <v>266319.86999999994</v>
      </c>
      <c r="H344" s="41">
        <f>H330</f>
        <v>722752.27</v>
      </c>
      <c r="I344" s="41">
        <f>I330</f>
        <v>105111.89</v>
      </c>
      <c r="J344" s="41">
        <f>J330</f>
        <v>84976.52</v>
      </c>
      <c r="K344" s="47">
        <f>K330+K343</f>
        <v>20228.86</v>
      </c>
      <c r="L344" s="41">
        <f>L330+L343</f>
        <v>1969974.4800000002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177874.37</v>
      </c>
      <c r="G350" s="18">
        <v>33632.080000000002</v>
      </c>
      <c r="H350" s="18">
        <f>1971.79+13364.15+1658.93+0.02</f>
        <v>16994.89</v>
      </c>
      <c r="I350" s="18">
        <f>162092.48+16126.15</f>
        <v>178218.63</v>
      </c>
      <c r="J350" s="18">
        <v>2024.49</v>
      </c>
      <c r="K350" s="18"/>
      <c r="L350" s="13">
        <f>SUM(F350:K350)</f>
        <v>408744.46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86146.86</v>
      </c>
      <c r="G351" s="18">
        <v>18784.71</v>
      </c>
      <c r="H351" s="18">
        <f>1101.31+3351.78+788.04-0.01</f>
        <v>5241.12</v>
      </c>
      <c r="I351" s="18">
        <f>126596.27+9281.13</f>
        <v>135877.4</v>
      </c>
      <c r="J351" s="18">
        <v>1130.75</v>
      </c>
      <c r="K351" s="18"/>
      <c r="L351" s="19">
        <f>SUM(F351:K351)</f>
        <v>247180.84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145830.1</v>
      </c>
      <c r="G352" s="18">
        <v>27057.83</v>
      </c>
      <c r="H352" s="18">
        <f>1586.35+4858.12+4129.59</f>
        <v>10574.06</v>
      </c>
      <c r="I352" s="18">
        <f>238302.08+13297.84</f>
        <v>251599.91999999998</v>
      </c>
      <c r="J352" s="18">
        <v>1628.75</v>
      </c>
      <c r="K352" s="18"/>
      <c r="L352" s="19">
        <f>SUM(F352:K352)</f>
        <v>436690.66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409851.32999999996</v>
      </c>
      <c r="G354" s="47">
        <f t="shared" si="22"/>
        <v>79474.62</v>
      </c>
      <c r="H354" s="47">
        <f t="shared" si="22"/>
        <v>32810.07</v>
      </c>
      <c r="I354" s="47">
        <f t="shared" si="22"/>
        <v>565695.94999999995</v>
      </c>
      <c r="J354" s="47">
        <f t="shared" si="22"/>
        <v>4783.99</v>
      </c>
      <c r="K354" s="47">
        <f t="shared" si="22"/>
        <v>0</v>
      </c>
      <c r="L354" s="47">
        <f t="shared" si="22"/>
        <v>1092615.96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145284.27+16126.15</f>
        <v>161410.41999999998</v>
      </c>
      <c r="G359" s="18">
        <f>120650.92+9281.13</f>
        <v>129932.05</v>
      </c>
      <c r="H359" s="18">
        <f>221638.76+13297.84</f>
        <v>234936.6</v>
      </c>
      <c r="I359" s="56">
        <f>SUM(F359:H359)</f>
        <v>526279.06999999995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7375.97+9432.24</f>
        <v>16808.21</v>
      </c>
      <c r="G360" s="63">
        <f>4411.95+1533.4</f>
        <v>5945.35</v>
      </c>
      <c r="H360" s="63">
        <f>14550.23+2113.09</f>
        <v>16663.32</v>
      </c>
      <c r="I360" s="56">
        <f>SUM(F360:H360)</f>
        <v>39416.879999999997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178218.62999999998</v>
      </c>
      <c r="G361" s="47">
        <f>SUM(G359:G360)</f>
        <v>135877.4</v>
      </c>
      <c r="H361" s="47">
        <f>SUM(H359:H360)</f>
        <v>251599.92</v>
      </c>
      <c r="I361" s="47">
        <f>SUM(I359:I360)</f>
        <v>565695.94999999995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44104.86</v>
      </c>
      <c r="I367" s="18"/>
      <c r="J367" s="18"/>
      <c r="K367" s="18"/>
      <c r="L367" s="13">
        <f t="shared" ref="L367:L373" si="23">SUM(F367:K367)</f>
        <v>44104.86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17652.669999999998</v>
      </c>
      <c r="I370" s="18"/>
      <c r="J370" s="18"/>
      <c r="K370" s="18"/>
      <c r="L370" s="13">
        <f t="shared" si="23"/>
        <v>17652.669999999998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61757.53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61757.53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1541.3</v>
      </c>
      <c r="I388" s="18"/>
      <c r="J388" s="24" t="s">
        <v>312</v>
      </c>
      <c r="K388" s="24" t="s">
        <v>312</v>
      </c>
      <c r="L388" s="56">
        <f t="shared" si="26"/>
        <v>1541.3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2744.1</v>
      </c>
      <c r="I389" s="18"/>
      <c r="J389" s="24" t="s">
        <v>312</v>
      </c>
      <c r="K389" s="24" t="s">
        <v>312</v>
      </c>
      <c r="L389" s="56">
        <f t="shared" si="26"/>
        <v>52744.1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1025.9000000000001</v>
      </c>
      <c r="I390" s="18"/>
      <c r="J390" s="24" t="s">
        <v>312</v>
      </c>
      <c r="K390" s="24" t="s">
        <v>312</v>
      </c>
      <c r="L390" s="56">
        <f t="shared" si="26"/>
        <v>1025.9000000000001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5311.2999999999993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55311.3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5311.2999999999993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55311.3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632399.68000000005</v>
      </c>
      <c r="H434" s="18"/>
      <c r="I434" s="56">
        <f t="shared" si="33"/>
        <v>632399.68000000005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632399.68000000005</v>
      </c>
      <c r="H438" s="13">
        <f>SUM(H431:H437)</f>
        <v>0</v>
      </c>
      <c r="I438" s="13">
        <f>SUM(I431:I437)</f>
        <v>632399.68000000005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632399.68000000005</v>
      </c>
      <c r="H449" s="18"/>
      <c r="I449" s="56">
        <f>SUM(F449:H449)</f>
        <v>632399.68000000005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632399.68000000005</v>
      </c>
      <c r="H450" s="83">
        <f>SUM(H446:H449)</f>
        <v>0</v>
      </c>
      <c r="I450" s="83">
        <f>SUM(I446:I449)</f>
        <v>632399.68000000005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632399.68000000005</v>
      </c>
      <c r="H451" s="42">
        <f>H444+H450</f>
        <v>0</v>
      </c>
      <c r="I451" s="42">
        <f>I444+I450</f>
        <v>632399.68000000005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1436212.69</v>
      </c>
      <c r="G455" s="18">
        <v>12256.53</v>
      </c>
      <c r="H455" s="18">
        <v>17232.13</v>
      </c>
      <c r="I455" s="18">
        <v>311141.59999999998</v>
      </c>
      <c r="J455" s="18">
        <v>577088.38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33954459.359999999</v>
      </c>
      <c r="G458" s="18">
        <f>1059106.39+38705.12</f>
        <v>1097811.51</v>
      </c>
      <c r="H458" s="18">
        <f>1657941.32+175001.65+137031.51</f>
        <v>1969974.48</v>
      </c>
      <c r="I458" s="18">
        <v>18246.189999999999</v>
      </c>
      <c r="J458" s="18">
        <v>55311.3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>
        <v>17846.23</v>
      </c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33954459.359999999</v>
      </c>
      <c r="G460" s="53">
        <f>SUM(G458:G459)</f>
        <v>1097811.51</v>
      </c>
      <c r="H460" s="53">
        <f>SUM(H458:H459)</f>
        <v>1969974.48</v>
      </c>
      <c r="I460" s="53">
        <f>SUM(I458:I459)</f>
        <v>36092.42</v>
      </c>
      <c r="J460" s="53">
        <f>SUM(J458:J459)</f>
        <v>55311.3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33395423.85+50000+29525.31</f>
        <v>33474949.16</v>
      </c>
      <c r="G462" s="18">
        <f>1053910.84+38705.12</f>
        <v>1092615.9600000002</v>
      </c>
      <c r="H462" s="18">
        <f>1657941.32+175001.65+137031.51</f>
        <v>1969974.48</v>
      </c>
      <c r="I462" s="18">
        <v>61757.53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316.83999999999997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33474949.16</v>
      </c>
      <c r="G464" s="53">
        <f>SUM(G462:G463)</f>
        <v>1092932.8000000003</v>
      </c>
      <c r="H464" s="53">
        <f>SUM(H462:H463)</f>
        <v>1969974.48</v>
      </c>
      <c r="I464" s="53">
        <f>SUM(I462:I463)</f>
        <v>61757.53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1915722.8899999969</v>
      </c>
      <c r="G466" s="53">
        <f>(G455+G460)- G464</f>
        <v>17135.239999999758</v>
      </c>
      <c r="H466" s="53">
        <f>(H455+H460)- H464</f>
        <v>17232.129999999888</v>
      </c>
      <c r="I466" s="53">
        <f>(I455+I460)- I464</f>
        <v>285476.49</v>
      </c>
      <c r="J466" s="53">
        <f>(J455+J460)- J464</f>
        <v>632399.68000000005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899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900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9900000</v>
      </c>
      <c r="G483" s="18">
        <v>19836029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>
        <v>3.25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1980000</v>
      </c>
      <c r="G485" s="18">
        <v>11895000</v>
      </c>
      <c r="H485" s="18"/>
      <c r="I485" s="18"/>
      <c r="J485" s="18"/>
      <c r="K485" s="53">
        <f>SUM(F485:J485)</f>
        <v>13875000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990000</v>
      </c>
      <c r="G487" s="18">
        <v>1985000</v>
      </c>
      <c r="H487" s="18"/>
      <c r="I487" s="18"/>
      <c r="J487" s="18"/>
      <c r="K487" s="53">
        <f t="shared" si="34"/>
        <v>2975000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990000</v>
      </c>
      <c r="G488" s="205">
        <v>9910000</v>
      </c>
      <c r="H488" s="205"/>
      <c r="I488" s="205"/>
      <c r="J488" s="205"/>
      <c r="K488" s="206">
        <f t="shared" si="34"/>
        <v>10900000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24750</v>
      </c>
      <c r="G489" s="18">
        <v>825973.75</v>
      </c>
      <c r="H489" s="18"/>
      <c r="I489" s="18"/>
      <c r="J489" s="18"/>
      <c r="K489" s="53">
        <f t="shared" si="34"/>
        <v>850723.75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1014750</v>
      </c>
      <c r="G490" s="42">
        <f>SUM(G488:G489)</f>
        <v>10735973.75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11750723.75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990000</v>
      </c>
      <c r="G491" s="205">
        <v>1985000</v>
      </c>
      <c r="H491" s="205"/>
      <c r="I491" s="205"/>
      <c r="J491" s="205"/>
      <c r="K491" s="206">
        <f t="shared" si="34"/>
        <v>2975000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24750</v>
      </c>
      <c r="G492" s="18">
        <v>292781.25</v>
      </c>
      <c r="H492" s="18"/>
      <c r="I492" s="18"/>
      <c r="J492" s="18"/>
      <c r="K492" s="53">
        <f t="shared" si="34"/>
        <v>317531.25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1014750</v>
      </c>
      <c r="G493" s="42">
        <f>SUM(G491:G492)</f>
        <v>2277781.25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3292531.25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14923.72+1385002.85</f>
        <v>1399926.57</v>
      </c>
      <c r="G511" s="18">
        <v>526928.05000000005</v>
      </c>
      <c r="H511" s="18">
        <f>11980.75+25698.54+27913.88+252424.88</f>
        <v>318018.05</v>
      </c>
      <c r="I511" s="18">
        <f>24606.89+12647.71</f>
        <v>37254.6</v>
      </c>
      <c r="J511" s="18">
        <f>23953.64</f>
        <v>23953.64</v>
      </c>
      <c r="K511" s="18"/>
      <c r="L511" s="88">
        <f>SUM(F511:K511)</f>
        <v>2306080.91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8335.43+533703.4</f>
        <v>542038.83000000007</v>
      </c>
      <c r="G512" s="18">
        <v>294308.01</v>
      </c>
      <c r="H512" s="18">
        <f>6691.67+3336.3+15590.89+119508.16</f>
        <v>145127.02000000002</v>
      </c>
      <c r="I512" s="18">
        <f>13743.82+2897.57</f>
        <v>16641.39</v>
      </c>
      <c r="J512" s="18">
        <f>13378.96+531.15</f>
        <v>13910.109999999999</v>
      </c>
      <c r="K512" s="18"/>
      <c r="L512" s="88">
        <f>SUM(F512:K512)</f>
        <v>1012025.3600000001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805639+12006.5</f>
        <v>817645.5</v>
      </c>
      <c r="G513" s="18">
        <f>423926.47</f>
        <v>423926.47</v>
      </c>
      <c r="H513" s="18">
        <f>9638.81+22457.4+397360.24</f>
        <v>429456.45</v>
      </c>
      <c r="I513" s="18">
        <f>19796.85+7338.4</f>
        <v>27135.25</v>
      </c>
      <c r="J513" s="18">
        <f>19271.29+628.9</f>
        <v>19900.190000000002</v>
      </c>
      <c r="K513" s="18"/>
      <c r="L513" s="88">
        <f>SUM(F513:K513)</f>
        <v>1718063.8599999999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2759610.9000000004</v>
      </c>
      <c r="G514" s="108">
        <f t="shared" ref="G514:L514" si="35">SUM(G511:G513)</f>
        <v>1245162.53</v>
      </c>
      <c r="H514" s="108">
        <f t="shared" si="35"/>
        <v>892601.52</v>
      </c>
      <c r="I514" s="108">
        <f t="shared" si="35"/>
        <v>81031.239999999991</v>
      </c>
      <c r="J514" s="108">
        <f t="shared" si="35"/>
        <v>57763.94</v>
      </c>
      <c r="K514" s="108">
        <f t="shared" si="35"/>
        <v>0</v>
      </c>
      <c r="L514" s="89">
        <f t="shared" si="35"/>
        <v>5036170.1300000008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234090.29+77946.64</f>
        <v>312036.93</v>
      </c>
      <c r="G516" s="18">
        <v>111432.6</v>
      </c>
      <c r="H516" s="18">
        <f>318.02+265625.61</f>
        <v>265943.63</v>
      </c>
      <c r="I516" s="18">
        <v>928.62</v>
      </c>
      <c r="J516" s="18"/>
      <c r="K516" s="18"/>
      <c r="L516" s="88">
        <f>SUM(F516:K516)</f>
        <v>690341.78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130747.73+44389.27</f>
        <v>175137</v>
      </c>
      <c r="G517" s="18">
        <v>62239.06</v>
      </c>
      <c r="H517" s="18">
        <f>177.63+123150.98</f>
        <v>123328.61</v>
      </c>
      <c r="I517" s="18">
        <v>179.9</v>
      </c>
      <c r="J517" s="18"/>
      <c r="K517" s="18"/>
      <c r="L517" s="88">
        <f>SUM(F517:K517)</f>
        <v>360884.57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188331.35</v>
      </c>
      <c r="G518" s="18">
        <v>89650.25</v>
      </c>
      <c r="H518" s="18">
        <f>255.85+83299.16</f>
        <v>83555.010000000009</v>
      </c>
      <c r="I518" s="18"/>
      <c r="J518" s="18"/>
      <c r="K518" s="18"/>
      <c r="L518" s="88">
        <f>SUM(F518:K518)</f>
        <v>361536.61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675505.28</v>
      </c>
      <c r="G519" s="89">
        <f t="shared" ref="G519:L519" si="36">SUM(G516:G518)</f>
        <v>263321.91000000003</v>
      </c>
      <c r="H519" s="89">
        <f t="shared" si="36"/>
        <v>472827.25</v>
      </c>
      <c r="I519" s="89">
        <f t="shared" si="36"/>
        <v>1108.52</v>
      </c>
      <c r="J519" s="89">
        <f t="shared" si="36"/>
        <v>0</v>
      </c>
      <c r="K519" s="89">
        <f t="shared" si="36"/>
        <v>0</v>
      </c>
      <c r="L519" s="89">
        <f t="shared" si="36"/>
        <v>1412762.96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88041.74</v>
      </c>
      <c r="G521" s="18">
        <v>37659.53</v>
      </c>
      <c r="H521" s="18">
        <f>243.33+10486.39+1446.17</f>
        <v>12175.89</v>
      </c>
      <c r="I521" s="18"/>
      <c r="J521" s="18"/>
      <c r="K521" s="18">
        <v>655.51</v>
      </c>
      <c r="L521" s="88">
        <f>SUM(F521:K521)</f>
        <v>138532.67000000001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49174.44+47827.63</f>
        <v>97002.07</v>
      </c>
      <c r="G522" s="18">
        <v>21034.18</v>
      </c>
      <c r="H522" s="18">
        <f>135.91+13841.94+807.74</f>
        <v>14785.59</v>
      </c>
      <c r="I522" s="18"/>
      <c r="J522" s="18"/>
      <c r="K522" s="18">
        <v>366.12</v>
      </c>
      <c r="L522" s="88">
        <f>SUM(F522:K522)</f>
        <v>133187.96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70831.73+47827.37</f>
        <v>118659.1</v>
      </c>
      <c r="G523" s="18">
        <f>30298.01</f>
        <v>30298.01</v>
      </c>
      <c r="H523" s="18">
        <f>195.76+11631.93+1163.48</f>
        <v>12991.17</v>
      </c>
      <c r="I523" s="18"/>
      <c r="J523" s="18"/>
      <c r="K523" s="18">
        <v>527.37</v>
      </c>
      <c r="L523" s="88">
        <f>SUM(F523:K523)</f>
        <v>162475.65000000002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303702.91000000003</v>
      </c>
      <c r="G524" s="89">
        <f t="shared" ref="G524:L524" si="37">SUM(G521:G523)</f>
        <v>88991.72</v>
      </c>
      <c r="H524" s="89">
        <f t="shared" si="37"/>
        <v>39952.65</v>
      </c>
      <c r="I524" s="89">
        <f t="shared" si="37"/>
        <v>0</v>
      </c>
      <c r="J524" s="89">
        <f t="shared" si="37"/>
        <v>0</v>
      </c>
      <c r="K524" s="89">
        <f t="shared" si="37"/>
        <v>1549</v>
      </c>
      <c r="L524" s="89">
        <f t="shared" si="37"/>
        <v>434196.28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189</v>
      </c>
      <c r="I526" s="18"/>
      <c r="J526" s="18"/>
      <c r="K526" s="18"/>
      <c r="L526" s="88">
        <f>SUM(F526:K526)</f>
        <v>189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210</v>
      </c>
      <c r="I528" s="18"/>
      <c r="J528" s="18"/>
      <c r="K528" s="18"/>
      <c r="L528" s="88">
        <f>SUM(F528:K528)</f>
        <v>210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90535.34</v>
      </c>
      <c r="G531" s="18">
        <v>30418.12</v>
      </c>
      <c r="H531" s="18">
        <f>6770.5+20369.37</f>
        <v>27139.87</v>
      </c>
      <c r="I531" s="18">
        <v>21465.52</v>
      </c>
      <c r="J531" s="18">
        <v>31149.09</v>
      </c>
      <c r="K531" s="18"/>
      <c r="L531" s="88">
        <f>SUM(F531:K531)</f>
        <v>200707.93999999997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50567.2</f>
        <v>50567.199999999997</v>
      </c>
      <c r="G532" s="18">
        <v>16989.599999999999</v>
      </c>
      <c r="H532" s="18">
        <f>3781.56+11377.02</f>
        <v>15158.58</v>
      </c>
      <c r="I532" s="18">
        <v>11989.26</v>
      </c>
      <c r="J532" s="18">
        <v>17397.87</v>
      </c>
      <c r="K532" s="18"/>
      <c r="L532" s="88">
        <f>SUM(F532:K532)</f>
        <v>112102.50999999998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72837.89</v>
      </c>
      <c r="G533" s="18">
        <v>24472.12</v>
      </c>
      <c r="H533" s="18">
        <f>5447.03+16387.65</f>
        <v>21834.68</v>
      </c>
      <c r="I533" s="18">
        <v>17269.54</v>
      </c>
      <c r="J533" s="18">
        <v>25060.2</v>
      </c>
      <c r="K533" s="18"/>
      <c r="L533" s="88">
        <f>SUM(F533:K533)</f>
        <v>161474.43000000002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213940.43</v>
      </c>
      <c r="G534" s="194">
        <f t="shared" ref="G534:L534" si="39">SUM(G531:G533)</f>
        <v>71879.839999999997</v>
      </c>
      <c r="H534" s="194">
        <f t="shared" si="39"/>
        <v>64133.13</v>
      </c>
      <c r="I534" s="194">
        <f t="shared" si="39"/>
        <v>50724.32</v>
      </c>
      <c r="J534" s="194">
        <f t="shared" si="39"/>
        <v>73607.16</v>
      </c>
      <c r="K534" s="194">
        <f t="shared" si="39"/>
        <v>0</v>
      </c>
      <c r="L534" s="194">
        <f t="shared" si="39"/>
        <v>474284.88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3952759.5200000009</v>
      </c>
      <c r="G535" s="89">
        <f t="shared" ref="G535:L535" si="40">G514+G519+G524+G529+G534</f>
        <v>1669356</v>
      </c>
      <c r="H535" s="89">
        <f t="shared" si="40"/>
        <v>1469913.5499999998</v>
      </c>
      <c r="I535" s="89">
        <f t="shared" si="40"/>
        <v>132864.07999999999</v>
      </c>
      <c r="J535" s="89">
        <f t="shared" si="40"/>
        <v>131371.1</v>
      </c>
      <c r="K535" s="89">
        <f t="shared" si="40"/>
        <v>1549</v>
      </c>
      <c r="L535" s="89">
        <f t="shared" si="40"/>
        <v>7357813.2500000009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2306080.91</v>
      </c>
      <c r="G539" s="87">
        <f>L516</f>
        <v>690341.78</v>
      </c>
      <c r="H539" s="87">
        <f>L521</f>
        <v>138532.67000000001</v>
      </c>
      <c r="I539" s="87">
        <f>L526</f>
        <v>189</v>
      </c>
      <c r="J539" s="87">
        <f>L531</f>
        <v>200707.93999999997</v>
      </c>
      <c r="K539" s="87">
        <f>SUM(F539:J539)</f>
        <v>3335852.3000000003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1012025.3600000001</v>
      </c>
      <c r="G540" s="87">
        <f>L517</f>
        <v>360884.57</v>
      </c>
      <c r="H540" s="87">
        <f>L522</f>
        <v>133187.96</v>
      </c>
      <c r="I540" s="87">
        <f>L527</f>
        <v>0</v>
      </c>
      <c r="J540" s="87">
        <f>L532</f>
        <v>112102.50999999998</v>
      </c>
      <c r="K540" s="87">
        <f>SUM(F540:J540)</f>
        <v>1618200.4000000001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1718063.8599999999</v>
      </c>
      <c r="G541" s="87">
        <f>L518</f>
        <v>361536.61</v>
      </c>
      <c r="H541" s="87">
        <f>L523</f>
        <v>162475.65000000002</v>
      </c>
      <c r="I541" s="87">
        <f>L528</f>
        <v>210</v>
      </c>
      <c r="J541" s="87">
        <f>L533</f>
        <v>161474.43000000002</v>
      </c>
      <c r="K541" s="87">
        <f>SUM(F541:J541)</f>
        <v>2403760.5499999998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5036170.1300000008</v>
      </c>
      <c r="G542" s="89">
        <f t="shared" si="41"/>
        <v>1412762.96</v>
      </c>
      <c r="H542" s="89">
        <f t="shared" si="41"/>
        <v>434196.28</v>
      </c>
      <c r="I542" s="89">
        <f t="shared" si="41"/>
        <v>399</v>
      </c>
      <c r="J542" s="89">
        <f t="shared" si="41"/>
        <v>474284.88</v>
      </c>
      <c r="K542" s="89">
        <f t="shared" si="41"/>
        <v>7357813.25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12493.46</v>
      </c>
      <c r="G552" s="18">
        <v>6710.18</v>
      </c>
      <c r="H552" s="18">
        <v>114.86</v>
      </c>
      <c r="I552" s="18"/>
      <c r="J552" s="18"/>
      <c r="K552" s="18"/>
      <c r="L552" s="88">
        <f>SUM(F552:K552)</f>
        <v>19318.5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24986.77</v>
      </c>
      <c r="G553" s="18">
        <v>13420.28</v>
      </c>
      <c r="H553" s="18">
        <v>229.73</v>
      </c>
      <c r="I553" s="18"/>
      <c r="J553" s="18"/>
      <c r="K553" s="18"/>
      <c r="L553" s="88">
        <f>SUM(F553:K553)</f>
        <v>38636.780000000006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43820.18</v>
      </c>
      <c r="G554" s="18">
        <v>23581.09</v>
      </c>
      <c r="H554" s="18">
        <v>402.88</v>
      </c>
      <c r="I554" s="18"/>
      <c r="J554" s="18"/>
      <c r="K554" s="18"/>
      <c r="L554" s="88">
        <f>SUM(F554:K554)</f>
        <v>67804.150000000009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81300.41</v>
      </c>
      <c r="G555" s="89">
        <f t="shared" si="43"/>
        <v>43711.55</v>
      </c>
      <c r="H555" s="89">
        <f t="shared" si="43"/>
        <v>747.47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125759.43000000002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81300.41</v>
      </c>
      <c r="G561" s="89">
        <f t="shared" ref="G561:L561" si="45">G550+G555+G560</f>
        <v>43711.55</v>
      </c>
      <c r="H561" s="89">
        <f t="shared" si="45"/>
        <v>747.47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125759.43000000002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f>9217.82-H571</f>
        <v>2090.2299999999996</v>
      </c>
      <c r="I568" s="87">
        <f t="shared" si="46"/>
        <v>2090.2299999999996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440.21</v>
      </c>
      <c r="G569" s="18"/>
      <c r="H569" s="18">
        <v>13509.48</v>
      </c>
      <c r="I569" s="87">
        <f t="shared" si="46"/>
        <v>13949.689999999999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f>7813-685.41</f>
        <v>7127.59</v>
      </c>
      <c r="I571" s="87">
        <f t="shared" si="46"/>
        <v>7127.59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247484.39+19500</f>
        <v>266984.39</v>
      </c>
      <c r="G572" s="18">
        <f>119448.03+9411.65</f>
        <v>128859.68</v>
      </c>
      <c r="H572" s="18">
        <f>379601.32+29909.87+685.41</f>
        <v>410196.6</v>
      </c>
      <c r="I572" s="87">
        <f t="shared" si="46"/>
        <v>806040.66999999993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129293.78</v>
      </c>
      <c r="I574" s="87">
        <f t="shared" si="46"/>
        <v>129293.78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584275.14</v>
      </c>
      <c r="I581" s="18">
        <f>322064.82-0.01</f>
        <v>322064.81</v>
      </c>
      <c r="J581" s="18">
        <f>463907.87-0.01</f>
        <v>463907.86</v>
      </c>
      <c r="K581" s="104">
        <f t="shared" ref="K581:K587" si="47">SUM(H581:J581)</f>
        <v>1370247.81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200707.94</v>
      </c>
      <c r="I582" s="18">
        <v>112102.51</v>
      </c>
      <c r="J582" s="18">
        <v>161474.43</v>
      </c>
      <c r="K582" s="104">
        <f t="shared" si="47"/>
        <v>474284.88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7432.33</v>
      </c>
      <c r="K583" s="104">
        <f t="shared" si="47"/>
        <v>7432.33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8923.1</v>
      </c>
      <c r="J584" s="18">
        <v>47696.06</v>
      </c>
      <c r="K584" s="104">
        <f t="shared" si="47"/>
        <v>56619.159999999996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3102.27</v>
      </c>
      <c r="I585" s="18">
        <v>3306.35</v>
      </c>
      <c r="J585" s="18">
        <v>1778.6</v>
      </c>
      <c r="K585" s="104">
        <f t="shared" si="47"/>
        <v>8187.2199999999993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2186.0700000000002</v>
      </c>
      <c r="J587" s="18">
        <v>2186.0700000000002</v>
      </c>
      <c r="K587" s="104">
        <f t="shared" si="47"/>
        <v>4372.1400000000003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788085.35000000009</v>
      </c>
      <c r="I588" s="108">
        <f>SUM(I581:I587)</f>
        <v>448582.83999999997</v>
      </c>
      <c r="J588" s="108">
        <f>SUM(J581:J587)</f>
        <v>684475.34999999986</v>
      </c>
      <c r="K588" s="108">
        <f>SUM(K581:K587)</f>
        <v>1921143.5399999998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254801.85</v>
      </c>
      <c r="I594" s="18">
        <v>155792.75</v>
      </c>
      <c r="J594" s="18">
        <f>214497.6+0.02</f>
        <v>214497.62</v>
      </c>
      <c r="K594" s="104">
        <f>SUM(H594:J594)</f>
        <v>625092.22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254801.85</v>
      </c>
      <c r="I595" s="108">
        <f>SUM(I592:I594)</f>
        <v>155792.75</v>
      </c>
      <c r="J595" s="108">
        <f>SUM(J592:J594)</f>
        <v>214497.62</v>
      </c>
      <c r="K595" s="108">
        <f>SUM(K592:K594)</f>
        <v>625092.22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14912.5</v>
      </c>
      <c r="G601" s="18">
        <f>F601*7.65%+F601*9.16%</f>
        <v>2506.7912500000002</v>
      </c>
      <c r="H601" s="18"/>
      <c r="I601" s="18"/>
      <c r="J601" s="18"/>
      <c r="K601" s="18"/>
      <c r="L601" s="88">
        <f>SUM(F601:K601)</f>
        <v>17419.291250000002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8278.7999999999993</v>
      </c>
      <c r="G602" s="18">
        <f>F602*7.65%+F602*9.16%</f>
        <v>1391.6662799999999</v>
      </c>
      <c r="H602" s="18"/>
      <c r="I602" s="18"/>
      <c r="J602" s="18"/>
      <c r="K602" s="18"/>
      <c r="L602" s="88">
        <f>SUM(F602:K602)</f>
        <v>9670.4662799999987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23191.3</v>
      </c>
      <c r="G604" s="108">
        <f t="shared" si="48"/>
        <v>3898.4575300000001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27089.757530000003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3645581.5700000003</v>
      </c>
      <c r="H607" s="109">
        <f>SUM(F44)</f>
        <v>3645581.5700000003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86299.07</v>
      </c>
      <c r="H608" s="109">
        <f>SUM(G44)</f>
        <v>86299.07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566028.37</v>
      </c>
      <c r="H609" s="109">
        <f>SUM(H44)</f>
        <v>566028.37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491268.15</v>
      </c>
      <c r="H610" s="109">
        <f>SUM(I44)</f>
        <v>491268.15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632399.68000000005</v>
      </c>
      <c r="H611" s="109">
        <f>SUM(J44)</f>
        <v>632399.68000000005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1915722.8900000001</v>
      </c>
      <c r="H612" s="109">
        <f>F466</f>
        <v>1915722.8899999969</v>
      </c>
      <c r="I612" s="121" t="s">
        <v>106</v>
      </c>
      <c r="J612" s="109">
        <f t="shared" ref="J612:J645" si="49">G612-H612</f>
        <v>3.2596290111541748E-9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17135.239999999998</v>
      </c>
      <c r="H613" s="109">
        <f>G466</f>
        <v>17135.239999999758</v>
      </c>
      <c r="I613" s="121" t="s">
        <v>108</v>
      </c>
      <c r="J613" s="109">
        <f t="shared" si="49"/>
        <v>2.4010660126805305E-10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17232.13</v>
      </c>
      <c r="H614" s="109">
        <f>H466</f>
        <v>17232.129999999888</v>
      </c>
      <c r="I614" s="121" t="s">
        <v>110</v>
      </c>
      <c r="J614" s="109">
        <f t="shared" si="49"/>
        <v>1.127773430198431E-10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285476.49</v>
      </c>
      <c r="H615" s="109">
        <f>I466</f>
        <v>285476.49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632399.68000000005</v>
      </c>
      <c r="H616" s="109">
        <f>J466</f>
        <v>632399.68000000005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33954459.359999999</v>
      </c>
      <c r="H617" s="104">
        <f>SUM(F458)</f>
        <v>33954459.359999999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1097811.51</v>
      </c>
      <c r="H618" s="104">
        <f>SUM(G458)</f>
        <v>1097811.51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1969974.48</v>
      </c>
      <c r="H619" s="104">
        <f>SUM(H458)</f>
        <v>1969974.48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18246.189999999999</v>
      </c>
      <c r="H620" s="104">
        <f>SUM(I458)</f>
        <v>18246.189999999999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55311.3</v>
      </c>
      <c r="H621" s="104">
        <f>SUM(J458)</f>
        <v>55311.3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33474949.159999996</v>
      </c>
      <c r="H622" s="104">
        <f>SUM(F462)</f>
        <v>33474949.16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1969974.4800000002</v>
      </c>
      <c r="H623" s="104">
        <f>SUM(H462)</f>
        <v>1969974.48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565695.94999999995</v>
      </c>
      <c r="H624" s="104">
        <f>I361</f>
        <v>565695.94999999995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1092615.96</v>
      </c>
      <c r="H625" s="104">
        <f>SUM(G462)</f>
        <v>1092615.9600000002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61757.53</v>
      </c>
      <c r="H626" s="104">
        <f>SUM(I462)</f>
        <v>61757.53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55311.3</v>
      </c>
      <c r="H627" s="164">
        <f>SUM(J458)</f>
        <v>55311.3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632399.68000000005</v>
      </c>
      <c r="H630" s="104">
        <f>SUM(G451)</f>
        <v>632399.68000000005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632399.68000000005</v>
      </c>
      <c r="H632" s="104">
        <f>SUM(I451)</f>
        <v>632399.68000000005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5311.3</v>
      </c>
      <c r="H634" s="104">
        <f>H400</f>
        <v>5311.2999999999993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55311.3</v>
      </c>
      <c r="H636" s="104">
        <f>L400</f>
        <v>55311.3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1921143.5399999998</v>
      </c>
      <c r="H637" s="104">
        <f>L200+L218+L236</f>
        <v>1921143.54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625092.22</v>
      </c>
      <c r="H638" s="104">
        <f>(J249+J330)-(J247+J328)</f>
        <v>625092.22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788085.35</v>
      </c>
      <c r="H639" s="104">
        <f>H588</f>
        <v>788085.35000000009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448582.84</v>
      </c>
      <c r="H640" s="104">
        <f>I588</f>
        <v>448582.83999999997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684475.35</v>
      </c>
      <c r="H641" s="104">
        <f>J588</f>
        <v>684475.34999999986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14485374.330000002</v>
      </c>
      <c r="G650" s="19">
        <f>(L221+L301+L351)</f>
        <v>7628396.2000000011</v>
      </c>
      <c r="H650" s="19">
        <f>(L239+L320+L352)</f>
        <v>10793306.529999999</v>
      </c>
      <c r="I650" s="19">
        <f>SUM(F650:H650)</f>
        <v>32907077.060000002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264927.36094207538</v>
      </c>
      <c r="G651" s="19">
        <f>(L351/IF(SUM(L350:L352)=0,1,SUM(L350:L352))*(SUM(G89:G102)))</f>
        <v>160210.0432545199</v>
      </c>
      <c r="H651" s="19">
        <f>(L352/IF(SUM(L350:L352)=0,1,SUM(L350:L352))*(SUM(G89:G102)))</f>
        <v>283040.66580340464</v>
      </c>
      <c r="I651" s="19">
        <f>SUM(F651:H651)</f>
        <v>708178.07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668515.87</v>
      </c>
      <c r="G652" s="19">
        <f>(L218+L298)-(J218+J298)</f>
        <v>381799.03</v>
      </c>
      <c r="H652" s="19">
        <f>(L236+L317)-(J236+J317)</f>
        <v>587724.15999999992</v>
      </c>
      <c r="I652" s="19">
        <f>SUM(F652:H652)</f>
        <v>1638039.0599999998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539645.74125000008</v>
      </c>
      <c r="G653" s="200">
        <f>SUM(G565:G577)+SUM(I592:I594)+L602</f>
        <v>294322.89627999999</v>
      </c>
      <c r="H653" s="200">
        <f>SUM(H565:H577)+SUM(J592:J594)+L603</f>
        <v>776715.29999999993</v>
      </c>
      <c r="I653" s="19">
        <f>SUM(F653:H653)</f>
        <v>1610683.93753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13012285.357807927</v>
      </c>
      <c r="G654" s="19">
        <f>G650-SUM(G651:G653)</f>
        <v>6792064.2304654811</v>
      </c>
      <c r="H654" s="19">
        <f>H650-SUM(H651:H653)</f>
        <v>9145826.4041965939</v>
      </c>
      <c r="I654" s="19">
        <f>I650-SUM(I651:I653)</f>
        <v>28950175.992470004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1100.7</v>
      </c>
      <c r="G655" s="249">
        <v>614.78</v>
      </c>
      <c r="H655" s="249">
        <v>885.54</v>
      </c>
      <c r="I655" s="19">
        <f>SUM(F655:H655)</f>
        <v>2601.02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11821.83</v>
      </c>
      <c r="G657" s="19">
        <f>ROUND(G654/G655,2)</f>
        <v>11047.96</v>
      </c>
      <c r="H657" s="19">
        <f>ROUND(H654/H655,2)</f>
        <v>10327.969999999999</v>
      </c>
      <c r="I657" s="19">
        <f>ROUND(I654/I655,2)</f>
        <v>11130.32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-34.74</v>
      </c>
      <c r="I660" s="19">
        <f>SUM(F660:H660)</f>
        <v>-34.74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11821.83</v>
      </c>
      <c r="G662" s="19">
        <f>ROUND((G654+G659)/(G655+G660),2)</f>
        <v>11047.96</v>
      </c>
      <c r="H662" s="19">
        <f>ROUND((H654+H659)/(H655+H660),2)</f>
        <v>10749.68</v>
      </c>
      <c r="I662" s="19">
        <f>ROUND((I654+I659)/(I655+I660),2)</f>
        <v>11280.99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69B4-16F7-4366-8C65-27A58E028832}">
  <sheetPr>
    <tabColor indexed="20"/>
  </sheetPr>
  <dimension ref="A1:C52"/>
  <sheetViews>
    <sheetView topLeftCell="A5" zoomScale="120" zoomScaleNormal="12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Merrimack Valley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8354150.1900000004</v>
      </c>
      <c r="C9" s="230">
        <f>'DOE25'!G189+'DOE25'!G207+'DOE25'!G225+'DOE25'!G268+'DOE25'!G287+'DOE25'!G306</f>
        <v>3033582.33</v>
      </c>
    </row>
    <row r="10" spans="1:3" x14ac:dyDescent="0.2">
      <c r="A10" t="s">
        <v>813</v>
      </c>
      <c r="B10" s="241">
        <v>7878995.0700000003</v>
      </c>
      <c r="C10" s="241">
        <v>2897227.8</v>
      </c>
    </row>
    <row r="11" spans="1:3" x14ac:dyDescent="0.2">
      <c r="A11" t="s">
        <v>814</v>
      </c>
      <c r="B11" s="241">
        <v>213731.89</v>
      </c>
      <c r="C11" s="241">
        <v>113444.32</v>
      </c>
    </row>
    <row r="12" spans="1:3" x14ac:dyDescent="0.2">
      <c r="A12" t="s">
        <v>815</v>
      </c>
      <c r="B12" s="241">
        <v>261423.23</v>
      </c>
      <c r="C12" s="241">
        <v>22910.21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8354150.1900000004</v>
      </c>
      <c r="C13" s="232">
        <f>SUM(C10:C12)</f>
        <v>3033582.3299999996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3553472.9400000004</v>
      </c>
      <c r="C18" s="230">
        <f>'DOE25'!G190+'DOE25'!G208+'DOE25'!G226+'DOE25'!G269+'DOE25'!G288+'DOE25'!G307</f>
        <v>1520590.9900000002</v>
      </c>
    </row>
    <row r="19" spans="1:3" x14ac:dyDescent="0.2">
      <c r="A19" t="s">
        <v>813</v>
      </c>
      <c r="B19" s="241">
        <v>1852933.04</v>
      </c>
      <c r="C19" s="241">
        <v>711420</v>
      </c>
    </row>
    <row r="20" spans="1:3" x14ac:dyDescent="0.2">
      <c r="A20" t="s">
        <v>814</v>
      </c>
      <c r="B20" s="241">
        <v>1624196.79</v>
      </c>
      <c r="C20" s="241">
        <v>802787.36</v>
      </c>
    </row>
    <row r="21" spans="1:3" x14ac:dyDescent="0.2">
      <c r="A21" t="s">
        <v>815</v>
      </c>
      <c r="B21" s="241">
        <v>76343.11</v>
      </c>
      <c r="C21" s="241">
        <v>6383.63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3553472.94</v>
      </c>
      <c r="C22" s="232">
        <f>SUM(C19:C21)</f>
        <v>1520590.9899999998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328777.63</v>
      </c>
      <c r="C36" s="236">
        <f>'DOE25'!G192+'DOE25'!G210+'DOE25'!G228+'DOE25'!G271+'DOE25'!G290+'DOE25'!G309</f>
        <v>50150.060000000005</v>
      </c>
    </row>
    <row r="37" spans="1:3" x14ac:dyDescent="0.2">
      <c r="A37" t="s">
        <v>813</v>
      </c>
      <c r="B37" s="241">
        <v>328777.63</v>
      </c>
      <c r="C37" s="241">
        <v>49992.78</v>
      </c>
    </row>
    <row r="38" spans="1:3" x14ac:dyDescent="0.2">
      <c r="A38" t="s">
        <v>814</v>
      </c>
      <c r="B38" s="241"/>
      <c r="C38" s="241">
        <v>157.28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328777.63</v>
      </c>
      <c r="C40" s="232">
        <f>SUM(C37:C39)</f>
        <v>50150.06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513-2037-4285-A6E1-B832CC3050A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Merrimack Valley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17756339.48</v>
      </c>
      <c r="D5" s="20">
        <f>SUM('DOE25'!L189:L192)+SUM('DOE25'!L207:L210)+SUM('DOE25'!L225:L228)-F5-G5</f>
        <v>17704310.990000002</v>
      </c>
      <c r="E5" s="244"/>
      <c r="F5" s="256">
        <f>SUM('DOE25'!J189:J192)+SUM('DOE25'!J207:J210)+SUM('DOE25'!J225:J228)</f>
        <v>47970.490000000005</v>
      </c>
      <c r="G5" s="53">
        <f>SUM('DOE25'!K189:K192)+SUM('DOE25'!K207:K210)+SUM('DOE25'!K225:K228)</f>
        <v>4058</v>
      </c>
      <c r="H5" s="260"/>
    </row>
    <row r="6" spans="1:9" x14ac:dyDescent="0.2">
      <c r="A6" s="32">
        <v>2100</v>
      </c>
      <c r="B6" t="s">
        <v>835</v>
      </c>
      <c r="C6" s="246">
        <f t="shared" si="0"/>
        <v>3493988.48</v>
      </c>
      <c r="D6" s="20">
        <f>'DOE25'!L194+'DOE25'!L212+'DOE25'!L230-F6-G6</f>
        <v>3491371.7</v>
      </c>
      <c r="E6" s="244"/>
      <c r="F6" s="256">
        <f>'DOE25'!J194+'DOE25'!J212+'DOE25'!J230</f>
        <v>927.78</v>
      </c>
      <c r="G6" s="53">
        <f>'DOE25'!K194+'DOE25'!K212+'DOE25'!K230</f>
        <v>1689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1078347.9099999999</v>
      </c>
      <c r="D7" s="20">
        <f>'DOE25'!L195+'DOE25'!L213+'DOE25'!L231-F7-G7</f>
        <v>969265.7</v>
      </c>
      <c r="E7" s="244"/>
      <c r="F7" s="256">
        <f>'DOE25'!J195+'DOE25'!J213+'DOE25'!J231</f>
        <v>109054.71</v>
      </c>
      <c r="G7" s="53">
        <f>'DOE25'!K195+'DOE25'!K213+'DOE25'!K231</f>
        <v>27.5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422519.97000000003</v>
      </c>
      <c r="D8" s="244"/>
      <c r="E8" s="20">
        <f>'DOE25'!L196+'DOE25'!L214+'DOE25'!L232-F8-G8-D9-D11</f>
        <v>416938.27</v>
      </c>
      <c r="F8" s="256">
        <f>'DOE25'!J196+'DOE25'!J214+'DOE25'!J232</f>
        <v>0</v>
      </c>
      <c r="G8" s="53">
        <f>'DOE25'!K196+'DOE25'!K214+'DOE25'!K232</f>
        <v>5581.7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185661.21</v>
      </c>
      <c r="D9" s="245">
        <v>185661.21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29000</v>
      </c>
      <c r="D10" s="244"/>
      <c r="E10" s="245">
        <v>29000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259980.01</v>
      </c>
      <c r="D11" s="245">
        <v>259980.01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1609906</v>
      </c>
      <c r="D12" s="20">
        <f>'DOE25'!L197+'DOE25'!L215+'DOE25'!L233-F12-G12</f>
        <v>1526987.11</v>
      </c>
      <c r="E12" s="244"/>
      <c r="F12" s="256">
        <f>'DOE25'!J197+'DOE25'!J215+'DOE25'!J233</f>
        <v>64124.89</v>
      </c>
      <c r="G12" s="53">
        <f>'DOE25'!K197+'DOE25'!K215+'DOE25'!K233</f>
        <v>18794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3025</v>
      </c>
      <c r="D13" s="244"/>
      <c r="E13" s="20">
        <f>'DOE25'!L198+'DOE25'!L216+'DOE25'!L234-F13-G13</f>
        <v>3025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3135935.59</v>
      </c>
      <c r="D14" s="20">
        <f>'DOE25'!L199+'DOE25'!L217+'DOE25'!L235-F14-G14</f>
        <v>3101002.2399999998</v>
      </c>
      <c r="E14" s="244"/>
      <c r="F14" s="256">
        <f>'DOE25'!J199+'DOE25'!J217+'DOE25'!J235</f>
        <v>34933.35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1921143.54</v>
      </c>
      <c r="D15" s="20">
        <f>'DOE25'!L200+'DOE25'!L218+'DOE25'!L236-F15-G15</f>
        <v>1637424.06</v>
      </c>
      <c r="E15" s="244"/>
      <c r="F15" s="256">
        <f>'DOE25'!J200+'DOE25'!J218+'DOE25'!J236</f>
        <v>283104.48</v>
      </c>
      <c r="G15" s="53">
        <f>'DOE25'!K200+'DOE25'!K218+'DOE25'!K236</f>
        <v>615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151558.22</v>
      </c>
      <c r="D22" s="244"/>
      <c r="E22" s="244"/>
      <c r="F22" s="256">
        <f>'DOE25'!L247+'DOE25'!L328</f>
        <v>151558.22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3406543.75</v>
      </c>
      <c r="D25" s="244"/>
      <c r="E25" s="244"/>
      <c r="F25" s="259"/>
      <c r="G25" s="257"/>
      <c r="H25" s="258">
        <f>'DOE25'!L252+'DOE25'!L253+'DOE25'!L333+'DOE25'!L334</f>
        <v>3406543.75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566336.89</v>
      </c>
      <c r="D29" s="20">
        <f>'DOE25'!L350+'DOE25'!L351+'DOE25'!L352-'DOE25'!I359-F29-G29</f>
        <v>561552.9</v>
      </c>
      <c r="E29" s="244"/>
      <c r="F29" s="256">
        <f>'DOE25'!J350+'DOE25'!J351+'DOE25'!J352</f>
        <v>4783.99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1969974.4800000002</v>
      </c>
      <c r="D31" s="20">
        <f>'DOE25'!L282+'DOE25'!L301+'DOE25'!L320+'DOE25'!L325+'DOE25'!L326+'DOE25'!L327-F31-G31</f>
        <v>1864769.1</v>
      </c>
      <c r="E31" s="244"/>
      <c r="F31" s="256">
        <f>'DOE25'!J282+'DOE25'!J301+'DOE25'!J320+'DOE25'!J325+'DOE25'!J326+'DOE25'!J327</f>
        <v>84976.52</v>
      </c>
      <c r="G31" s="53">
        <f>'DOE25'!K282+'DOE25'!K301+'DOE25'!K320+'DOE25'!K325+'DOE25'!K326+'DOE25'!K327</f>
        <v>20228.86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31302325.02</v>
      </c>
      <c r="E33" s="247">
        <f>SUM(E5:E31)</f>
        <v>448963.27</v>
      </c>
      <c r="F33" s="247">
        <f>SUM(F5:F31)</f>
        <v>781434.42999999993</v>
      </c>
      <c r="G33" s="247">
        <f>SUM(G5:G31)</f>
        <v>50994.06</v>
      </c>
      <c r="H33" s="247">
        <f>SUM(H5:H31)</f>
        <v>3406543.75</v>
      </c>
    </row>
    <row r="35" spans="2:8" ht="12" thickBot="1" x14ac:dyDescent="0.25">
      <c r="B35" s="254" t="s">
        <v>881</v>
      </c>
      <c r="D35" s="255">
        <f>E33</f>
        <v>448963.27</v>
      </c>
      <c r="E35" s="250"/>
    </row>
    <row r="36" spans="2:8" ht="12" thickTop="1" x14ac:dyDescent="0.2">
      <c r="B36" t="s">
        <v>849</v>
      </c>
      <c r="D36" s="20">
        <f>D33</f>
        <v>31302325.02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3C5A-9E41-4501-A690-0CBD73EB575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2118677.29</v>
      </c>
      <c r="D9" s="95">
        <f>'DOE25'!G9</f>
        <v>215.69</v>
      </c>
      <c r="E9" s="95">
        <f>'DOE25'!H9</f>
        <v>0</v>
      </c>
      <c r="F9" s="95">
        <f>'DOE25'!I9</f>
        <v>488599.13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1159705.3600000001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8993.1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192211.11</v>
      </c>
      <c r="D12" s="95">
        <f>'DOE25'!G12</f>
        <v>53677.96</v>
      </c>
      <c r="E12" s="95">
        <f>'DOE25'!H12</f>
        <v>0</v>
      </c>
      <c r="F12" s="95">
        <f>'DOE25'!I12</f>
        <v>2669.02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136139.35999999999</v>
      </c>
      <c r="D13" s="95">
        <f>'DOE25'!G13</f>
        <v>20402.849999999999</v>
      </c>
      <c r="E13" s="95">
        <f>'DOE25'!H13</f>
        <v>563753.32999999996</v>
      </c>
      <c r="F13" s="95">
        <f>'DOE25'!I13</f>
        <v>0</v>
      </c>
      <c r="G13" s="95">
        <f>'DOE25'!J13</f>
        <v>632399.68000000005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29855.35</v>
      </c>
      <c r="D14" s="95">
        <f>'DOE25'!G14</f>
        <v>1483.02</v>
      </c>
      <c r="E14" s="95">
        <f>'DOE25'!H14</f>
        <v>2275.04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10519.55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3645581.5700000003</v>
      </c>
      <c r="D19" s="41">
        <f>SUM(D9:D18)</f>
        <v>86299.07</v>
      </c>
      <c r="E19" s="41">
        <f>SUM(E9:E18)</f>
        <v>566028.37</v>
      </c>
      <c r="F19" s="41">
        <f>SUM(F9:F18)</f>
        <v>491268.15</v>
      </c>
      <c r="G19" s="41">
        <f>SUM(G9:G18)</f>
        <v>632399.68000000005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248558.09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23752.43</v>
      </c>
      <c r="D24" s="95">
        <f>'DOE25'!G25</f>
        <v>3917.83</v>
      </c>
      <c r="E24" s="95">
        <f>'DOE25'!H25</f>
        <v>3951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1677930.78</v>
      </c>
      <c r="D28" s="95">
        <f>'DOE25'!G29</f>
        <v>53114.11</v>
      </c>
      <c r="E28" s="95">
        <f>'DOE25'!H29</f>
        <v>94943</v>
      </c>
      <c r="F28" s="95">
        <f>'DOE25'!I29</f>
        <v>205791.66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28175.47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12131.89</v>
      </c>
      <c r="E30" s="95">
        <f>'DOE25'!H31</f>
        <v>201344.15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1729858.68</v>
      </c>
      <c r="D32" s="41">
        <f>SUM(D22:D31)</f>
        <v>69163.83</v>
      </c>
      <c r="E32" s="41">
        <f>SUM(E22:E31)</f>
        <v>548796.24</v>
      </c>
      <c r="F32" s="41">
        <f>SUM(F22:F31)</f>
        <v>205791.66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10519.55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65644.86</v>
      </c>
      <c r="D40" s="95">
        <f>'DOE25'!G41</f>
        <v>6615.6900000000005</v>
      </c>
      <c r="E40" s="95">
        <f>'DOE25'!H41</f>
        <v>17232.13</v>
      </c>
      <c r="F40" s="95">
        <f>'DOE25'!I41</f>
        <v>285476.49</v>
      </c>
      <c r="G40" s="95">
        <f>'DOE25'!J41</f>
        <v>632399.68000000005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1850078.03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1915722.8900000001</v>
      </c>
      <c r="D42" s="41">
        <f>SUM(D34:D41)</f>
        <v>17135.239999999998</v>
      </c>
      <c r="E42" s="41">
        <f>SUM(E34:E41)</f>
        <v>17232.13</v>
      </c>
      <c r="F42" s="41">
        <f>SUM(F34:F41)</f>
        <v>285476.49</v>
      </c>
      <c r="G42" s="41">
        <f>SUM(G34:G41)</f>
        <v>632399.68000000005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3645581.5700000003</v>
      </c>
      <c r="D43" s="41">
        <f>D42+D32</f>
        <v>86299.07</v>
      </c>
      <c r="E43" s="41">
        <f>E42+E32</f>
        <v>566028.37</v>
      </c>
      <c r="F43" s="41">
        <f>F42+F32</f>
        <v>491268.15</v>
      </c>
      <c r="G43" s="41">
        <f>G42+G32</f>
        <v>632399.68000000005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16995149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1282404.06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8763.25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3230.06</v>
      </c>
      <c r="D51" s="95">
        <f>'DOE25'!G88</f>
        <v>191.25</v>
      </c>
      <c r="E51" s="95">
        <f>'DOE25'!H88</f>
        <v>0</v>
      </c>
      <c r="F51" s="95">
        <f>'DOE25'!I88</f>
        <v>18246.189999999999</v>
      </c>
      <c r="G51" s="95">
        <f>'DOE25'!J88</f>
        <v>5311.3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708178.07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70358.16</v>
      </c>
      <c r="D53" s="95">
        <f>SUM('DOE25'!G90:G102)</f>
        <v>0</v>
      </c>
      <c r="E53" s="95">
        <f>SUM('DOE25'!H90:H102)</f>
        <v>312033.16000000003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1364755.53</v>
      </c>
      <c r="D54" s="130">
        <f>SUM(D49:D53)</f>
        <v>708369.32</v>
      </c>
      <c r="E54" s="130">
        <f>SUM(E49:E53)</f>
        <v>312033.16000000003</v>
      </c>
      <c r="F54" s="130">
        <f>SUM(F49:F53)</f>
        <v>18246.189999999999</v>
      </c>
      <c r="G54" s="130">
        <f>SUM(G49:G53)</f>
        <v>5311.3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18359904.530000001</v>
      </c>
      <c r="D55" s="22">
        <f>D48+D54</f>
        <v>708369.32</v>
      </c>
      <c r="E55" s="22">
        <f>E48+E54</f>
        <v>312033.16000000003</v>
      </c>
      <c r="F55" s="22">
        <f>F48+F54</f>
        <v>18246.189999999999</v>
      </c>
      <c r="G55" s="22">
        <f>G48+G54</f>
        <v>5311.3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7021062.4800000004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3432427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2693764.52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13147254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2012548.44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170461.44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18035.2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13535.53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2201045.08</v>
      </c>
      <c r="D70" s="130">
        <f>SUM(D64:D69)</f>
        <v>13535.53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15348299.08</v>
      </c>
      <c r="D73" s="130">
        <f>SUM(D71:D72)+D70+D62</f>
        <v>13535.53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246255.75</v>
      </c>
      <c r="D80" s="95">
        <f>SUM('DOE25'!G145:G153)</f>
        <v>375906.66</v>
      </c>
      <c r="E80" s="95">
        <f>SUM('DOE25'!H145:H153)</f>
        <v>1657941.32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246255.75</v>
      </c>
      <c r="D83" s="131">
        <f>SUM(D77:D82)</f>
        <v>375906.66</v>
      </c>
      <c r="E83" s="131">
        <f>SUM(E77:E82)</f>
        <v>1657941.32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33954459.359999999</v>
      </c>
      <c r="D96" s="86">
        <f>D55+D73+D83+D95</f>
        <v>1097811.51</v>
      </c>
      <c r="E96" s="86">
        <f>E55+E73+E83+E95</f>
        <v>1969974.48</v>
      </c>
      <c r="F96" s="86">
        <f>F55+F73+F83+F95</f>
        <v>18246.189999999999</v>
      </c>
      <c r="G96" s="86">
        <f>G55+G73+G95</f>
        <v>55311.3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11873792.98</v>
      </c>
      <c r="D101" s="24" t="s">
        <v>312</v>
      </c>
      <c r="E101" s="95">
        <f>('DOE25'!L268)+('DOE25'!L287)+('DOE25'!L306)</f>
        <v>142375.77000000002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5272517.26</v>
      </c>
      <c r="D102" s="24" t="s">
        <v>312</v>
      </c>
      <c r="E102" s="95">
        <f>('DOE25'!L269)+('DOE25'!L288)+('DOE25'!L307)</f>
        <v>879238.89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129293.78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480735.45999999996</v>
      </c>
      <c r="D104" s="24" t="s">
        <v>312</v>
      </c>
      <c r="E104" s="95">
        <f>+('DOE25'!L271)+('DOE25'!L290)+('DOE25'!L309)</f>
        <v>14690.32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22360.57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17756339.480000004</v>
      </c>
      <c r="D107" s="86">
        <f>SUM(D101:D106)</f>
        <v>0</v>
      </c>
      <c r="E107" s="86">
        <f>SUM(E101:E106)</f>
        <v>1058665.55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3493988.48</v>
      </c>
      <c r="D110" s="24" t="s">
        <v>312</v>
      </c>
      <c r="E110" s="95">
        <f>+('DOE25'!L273)+('DOE25'!L292)+('DOE25'!L311)</f>
        <v>272804.40000000002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1078347.9099999999</v>
      </c>
      <c r="D111" s="24" t="s">
        <v>312</v>
      </c>
      <c r="E111" s="95">
        <f>+('DOE25'!L274)+('DOE25'!L293)+('DOE25'!L312)</f>
        <v>474169.81000000006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868161.19</v>
      </c>
      <c r="D112" s="24" t="s">
        <v>312</v>
      </c>
      <c r="E112" s="95">
        <f>+('DOE25'!L275)+('DOE25'!L294)+('DOE25'!L313)</f>
        <v>56583.869999999995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1609906</v>
      </c>
      <c r="D113" s="24" t="s">
        <v>312</v>
      </c>
      <c r="E113" s="95">
        <f>+('DOE25'!L276)+('DOE25'!L295)+('DOE25'!L314)</f>
        <v>3836.9900000000002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3025</v>
      </c>
      <c r="D114" s="24" t="s">
        <v>312</v>
      </c>
      <c r="E114" s="95">
        <f>+('DOE25'!L277)+('DOE25'!L296)+('DOE25'!L315)</f>
        <v>20228.86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3135935.59</v>
      </c>
      <c r="D115" s="24" t="s">
        <v>312</v>
      </c>
      <c r="E115" s="95">
        <f>+('DOE25'!L278)+('DOE25'!L297)+('DOE25'!L316)</f>
        <v>83685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1921143.54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1092615.96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12110507.710000001</v>
      </c>
      <c r="D120" s="86">
        <f>SUM(D110:D119)</f>
        <v>1092615.96</v>
      </c>
      <c r="E120" s="86">
        <f>SUM(E110:E119)</f>
        <v>911308.93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151558.22</v>
      </c>
      <c r="D122" s="24" t="s">
        <v>312</v>
      </c>
      <c r="E122" s="129">
        <f>'DOE25'!L328</f>
        <v>0</v>
      </c>
      <c r="F122" s="129">
        <f>SUM('DOE25'!L366:'DOE25'!L372)</f>
        <v>61757.53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431543.75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55311.3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-5311.3000000000029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3608101.97</v>
      </c>
      <c r="D136" s="141">
        <f>SUM(D122:D135)</f>
        <v>0</v>
      </c>
      <c r="E136" s="141">
        <f>SUM(E122:E135)</f>
        <v>0</v>
      </c>
      <c r="F136" s="141">
        <f>SUM(F122:F135)</f>
        <v>61757.53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33474949.160000004</v>
      </c>
      <c r="D137" s="86">
        <f>(D107+D120+D136)</f>
        <v>1092615.96</v>
      </c>
      <c r="E137" s="86">
        <f>(E107+E120+E136)</f>
        <v>1969974.48</v>
      </c>
      <c r="F137" s="86">
        <f>(F107+F120+F136)</f>
        <v>61757.53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05/00</v>
      </c>
      <c r="C144" s="152" t="str">
        <f>'DOE25'!G481</f>
        <v>06/05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05/11</v>
      </c>
      <c r="C145" s="152" t="str">
        <f>'DOE25'!G482</f>
        <v>10/14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9900000</v>
      </c>
      <c r="C146" s="137">
        <f>'DOE25'!G483</f>
        <v>19836029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3.25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1980000</v>
      </c>
      <c r="C148" s="137">
        <f>'DOE25'!G485</f>
        <v>11895000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13875000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990000</v>
      </c>
      <c r="C150" s="137">
        <f>'DOE25'!G487</f>
        <v>1985000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2975000</v>
      </c>
    </row>
    <row r="151" spans="1:7" x14ac:dyDescent="0.2">
      <c r="A151" s="22" t="s">
        <v>35</v>
      </c>
      <c r="B151" s="137">
        <f>'DOE25'!F488</f>
        <v>990000</v>
      </c>
      <c r="C151" s="137">
        <f>'DOE25'!G488</f>
        <v>9910000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10900000</v>
      </c>
    </row>
    <row r="152" spans="1:7" x14ac:dyDescent="0.2">
      <c r="A152" s="22" t="s">
        <v>36</v>
      </c>
      <c r="B152" s="137">
        <f>'DOE25'!F489</f>
        <v>24750</v>
      </c>
      <c r="C152" s="137">
        <f>'DOE25'!G489</f>
        <v>825973.75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850723.75</v>
      </c>
    </row>
    <row r="153" spans="1:7" x14ac:dyDescent="0.2">
      <c r="A153" s="22" t="s">
        <v>37</v>
      </c>
      <c r="B153" s="137">
        <f>'DOE25'!F490</f>
        <v>1014750</v>
      </c>
      <c r="C153" s="137">
        <f>'DOE25'!G490</f>
        <v>10735973.75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11750723.75</v>
      </c>
    </row>
    <row r="154" spans="1:7" x14ac:dyDescent="0.2">
      <c r="A154" s="22" t="s">
        <v>38</v>
      </c>
      <c r="B154" s="137">
        <f>'DOE25'!F491</f>
        <v>990000</v>
      </c>
      <c r="C154" s="137">
        <f>'DOE25'!G491</f>
        <v>1985000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2975000</v>
      </c>
    </row>
    <row r="155" spans="1:7" x14ac:dyDescent="0.2">
      <c r="A155" s="22" t="s">
        <v>39</v>
      </c>
      <c r="B155" s="137">
        <f>'DOE25'!F492</f>
        <v>24750</v>
      </c>
      <c r="C155" s="137">
        <f>'DOE25'!G492</f>
        <v>292781.25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317531.25</v>
      </c>
    </row>
    <row r="156" spans="1:7" x14ac:dyDescent="0.2">
      <c r="A156" s="22" t="s">
        <v>269</v>
      </c>
      <c r="B156" s="137">
        <f>'DOE25'!F493</f>
        <v>1014750</v>
      </c>
      <c r="C156" s="137">
        <f>'DOE25'!G493</f>
        <v>2277781.25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3292531.25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EAF6-2CC4-46F9-905B-B63CBAEB3CD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Merrimack Valley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11822</v>
      </c>
    </row>
    <row r="5" spans="1:4" x14ac:dyDescent="0.2">
      <c r="B5" t="s">
        <v>735</v>
      </c>
      <c r="C5" s="179">
        <f>IF('DOE25'!G655+'DOE25'!G660=0,0,ROUND('DOE25'!G662,0))</f>
        <v>11048</v>
      </c>
    </row>
    <row r="6" spans="1:4" x14ac:dyDescent="0.2">
      <c r="B6" t="s">
        <v>62</v>
      </c>
      <c r="C6" s="179">
        <f>IF('DOE25'!H655+'DOE25'!H660=0,0,ROUND('DOE25'!H662,0))</f>
        <v>10750</v>
      </c>
    </row>
    <row r="7" spans="1:4" x14ac:dyDescent="0.2">
      <c r="B7" t="s">
        <v>736</v>
      </c>
      <c r="C7" s="179">
        <f>IF('DOE25'!I655+'DOE25'!I660=0,0,ROUND('DOE25'!I662,0))</f>
        <v>11281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12016169</v>
      </c>
      <c r="D10" s="182">
        <f>ROUND((C10/$C$28)*100,1)</f>
        <v>36.799999999999997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6151756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129294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495426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3766793</v>
      </c>
      <c r="D15" s="182">
        <f t="shared" ref="D15:D27" si="0">ROUND((C15/$C$28)*100,1)</f>
        <v>11.5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1552518</v>
      </c>
      <c r="D16" s="182">
        <f t="shared" si="0"/>
        <v>4.8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924745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1613743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23254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3219621</v>
      </c>
      <c r="D20" s="182">
        <f t="shared" si="0"/>
        <v>9.9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1921144</v>
      </c>
      <c r="D21" s="182">
        <f t="shared" si="0"/>
        <v>5.9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22361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431544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384437.93000000005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32652805.93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213316</v>
      </c>
    </row>
    <row r="30" spans="1:4" x14ac:dyDescent="0.2">
      <c r="B30" s="187" t="s">
        <v>760</v>
      </c>
      <c r="C30" s="180">
        <f>SUM(C28:C29)</f>
        <v>32866121.93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16995149</v>
      </c>
      <c r="D35" s="182">
        <f t="shared" ref="D35:D40" si="1">ROUND((C35/$C$41)*100,1)</f>
        <v>46.8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1700537.4299999997</v>
      </c>
      <c r="D36" s="182">
        <f t="shared" si="1"/>
        <v>4.7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10453489</v>
      </c>
      <c r="D37" s="182">
        <f t="shared" si="1"/>
        <v>28.8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4908345</v>
      </c>
      <c r="D38" s="182">
        <f t="shared" si="1"/>
        <v>13.5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2280104</v>
      </c>
      <c r="D39" s="182">
        <f t="shared" si="1"/>
        <v>6.3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36337624.43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E65B-4506-4FAF-A98E-D5A19908264E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Merrimack Valley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23</v>
      </c>
      <c r="B4" s="220">
        <v>8</v>
      </c>
      <c r="C4" s="280" t="s">
        <v>901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2010-09-13T12:15:20Z</cp:lastPrinted>
  <dcterms:created xsi:type="dcterms:W3CDTF">1997-12-04T19:04:30Z</dcterms:created>
  <dcterms:modified xsi:type="dcterms:W3CDTF">2025-01-09T20:11:05Z</dcterms:modified>
</cp:coreProperties>
</file>