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00F6C60B-5C01-4658-868E-EC9BD4F679C4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936FED2A-E58A-4FC7-8DEC-CB3D11C7B98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2" i="1" l="1"/>
  <c r="G572" i="1"/>
  <c r="H603" i="1"/>
  <c r="H274" i="1"/>
  <c r="G601" i="1"/>
  <c r="G604" i="1" s="1"/>
  <c r="J582" i="1"/>
  <c r="J588" i="1" s="1"/>
  <c r="H641" i="1" s="1"/>
  <c r="H594" i="1"/>
  <c r="I582" i="1"/>
  <c r="H582" i="1"/>
  <c r="J581" i="1"/>
  <c r="I581" i="1"/>
  <c r="I588" i="1" s="1"/>
  <c r="H640" i="1" s="1"/>
  <c r="H581" i="1"/>
  <c r="K581" i="1" s="1"/>
  <c r="K588" i="1" s="1"/>
  <c r="G637" i="1" s="1"/>
  <c r="K521" i="1"/>
  <c r="I511" i="1"/>
  <c r="G511" i="1"/>
  <c r="F511" i="1"/>
  <c r="L511" i="1" s="1"/>
  <c r="H516" i="1"/>
  <c r="H519" i="1" s="1"/>
  <c r="H518" i="1"/>
  <c r="L518" i="1" s="1"/>
  <c r="G541" i="1" s="1"/>
  <c r="I532" i="1"/>
  <c r="I534" i="1" s="1"/>
  <c r="I531" i="1"/>
  <c r="H533" i="1"/>
  <c r="H532" i="1"/>
  <c r="H531" i="1"/>
  <c r="L531" i="1" s="1"/>
  <c r="G521" i="1"/>
  <c r="L521" i="1" s="1"/>
  <c r="F521" i="1"/>
  <c r="H517" i="1"/>
  <c r="H511" i="1"/>
  <c r="H513" i="1"/>
  <c r="G512" i="1"/>
  <c r="K513" i="1"/>
  <c r="J511" i="1"/>
  <c r="J514" i="1" s="1"/>
  <c r="J535" i="1" s="1"/>
  <c r="J513" i="1"/>
  <c r="I513" i="1"/>
  <c r="H512" i="1"/>
  <c r="G513" i="1"/>
  <c r="F513" i="1"/>
  <c r="F514" i="1" s="1"/>
  <c r="F535" i="1" s="1"/>
  <c r="F489" i="1"/>
  <c r="F488" i="1"/>
  <c r="G449" i="1"/>
  <c r="G434" i="1"/>
  <c r="G438" i="1" s="1"/>
  <c r="G630" i="1" s="1"/>
  <c r="F434" i="1"/>
  <c r="F438" i="1" s="1"/>
  <c r="G629" i="1" s="1"/>
  <c r="H392" i="1"/>
  <c r="L392" i="1" s="1"/>
  <c r="I269" i="1"/>
  <c r="L269" i="1" s="1"/>
  <c r="E102" i="2" s="1"/>
  <c r="G269" i="1"/>
  <c r="F269" i="1"/>
  <c r="G268" i="1"/>
  <c r="F268" i="1"/>
  <c r="B9" i="12" s="1"/>
  <c r="A13" i="12" s="1"/>
  <c r="H273" i="1"/>
  <c r="L273" i="1" s="1"/>
  <c r="E110" i="2" s="1"/>
  <c r="E120" i="2" s="1"/>
  <c r="J268" i="1"/>
  <c r="H311" i="1"/>
  <c r="J274" i="1"/>
  <c r="G274" i="1"/>
  <c r="G282" i="1" s="1"/>
  <c r="G330" i="1" s="1"/>
  <c r="G344" i="1" s="1"/>
  <c r="F274" i="1"/>
  <c r="L274" i="1" s="1"/>
  <c r="E111" i="2" s="1"/>
  <c r="J194" i="1"/>
  <c r="F196" i="1"/>
  <c r="L196" i="1" s="1"/>
  <c r="G196" i="1"/>
  <c r="H196" i="1"/>
  <c r="I196" i="1"/>
  <c r="K196" i="1"/>
  <c r="G8" i="13" s="1"/>
  <c r="H236" i="1"/>
  <c r="L236" i="1" s="1"/>
  <c r="H230" i="1"/>
  <c r="H228" i="1"/>
  <c r="K226" i="1"/>
  <c r="J226" i="1"/>
  <c r="I226" i="1"/>
  <c r="H226" i="1"/>
  <c r="H239" i="1" s="1"/>
  <c r="G226" i="1"/>
  <c r="C18" i="12" s="1"/>
  <c r="F226" i="1"/>
  <c r="H225" i="1"/>
  <c r="I218" i="1"/>
  <c r="H218" i="1"/>
  <c r="L218" i="1" s="1"/>
  <c r="H212" i="1"/>
  <c r="H221" i="1" s="1"/>
  <c r="G210" i="1"/>
  <c r="H208" i="1"/>
  <c r="G208" i="1"/>
  <c r="H207" i="1"/>
  <c r="I236" i="1"/>
  <c r="K232" i="1"/>
  <c r="K239" i="1" s="1"/>
  <c r="I232" i="1"/>
  <c r="H232" i="1"/>
  <c r="G232" i="1"/>
  <c r="F232" i="1"/>
  <c r="K214" i="1"/>
  <c r="K221" i="1" s="1"/>
  <c r="I214" i="1"/>
  <c r="L214" i="1" s="1"/>
  <c r="H214" i="1"/>
  <c r="G214" i="1"/>
  <c r="F214" i="1"/>
  <c r="H200" i="1"/>
  <c r="I200" i="1"/>
  <c r="H199" i="1"/>
  <c r="H197" i="1"/>
  <c r="G197" i="1"/>
  <c r="F197" i="1"/>
  <c r="H195" i="1"/>
  <c r="K195" i="1"/>
  <c r="G7" i="13" s="1"/>
  <c r="J195" i="1"/>
  <c r="L195" i="1" s="1"/>
  <c r="I195" i="1"/>
  <c r="G195" i="1"/>
  <c r="F195" i="1"/>
  <c r="H194" i="1"/>
  <c r="I194" i="1"/>
  <c r="G194" i="1"/>
  <c r="G203" i="1" s="1"/>
  <c r="F194" i="1"/>
  <c r="L194" i="1" s="1"/>
  <c r="H192" i="1"/>
  <c r="H190" i="1"/>
  <c r="G190" i="1"/>
  <c r="F190" i="1"/>
  <c r="L190" i="1" s="1"/>
  <c r="H189" i="1"/>
  <c r="L189" i="1" s="1"/>
  <c r="F189" i="1"/>
  <c r="F157" i="1"/>
  <c r="H146" i="1"/>
  <c r="F102" i="1"/>
  <c r="F97" i="1"/>
  <c r="F94" i="1"/>
  <c r="F103" i="1" s="1"/>
  <c r="F104" i="1" s="1"/>
  <c r="F185" i="1" s="1"/>
  <c r="G617" i="1" s="1"/>
  <c r="J617" i="1" s="1"/>
  <c r="G89" i="1"/>
  <c r="G103" i="1" s="1"/>
  <c r="H31" i="1"/>
  <c r="H13" i="1"/>
  <c r="H23" i="1"/>
  <c r="C60" i="2"/>
  <c r="B2" i="13"/>
  <c r="F8" i="13"/>
  <c r="L232" i="1"/>
  <c r="D39" i="13"/>
  <c r="F13" i="13"/>
  <c r="G13" i="13"/>
  <c r="L198" i="1"/>
  <c r="L216" i="1"/>
  <c r="L234" i="1"/>
  <c r="C114" i="2" s="1"/>
  <c r="F16" i="13"/>
  <c r="G16" i="13"/>
  <c r="L201" i="1"/>
  <c r="L219" i="1"/>
  <c r="L237" i="1"/>
  <c r="E16" i="13" s="1"/>
  <c r="C16" i="13" s="1"/>
  <c r="F5" i="13"/>
  <c r="G5" i="13"/>
  <c r="L191" i="1"/>
  <c r="L192" i="1"/>
  <c r="L207" i="1"/>
  <c r="L208" i="1"/>
  <c r="L209" i="1"/>
  <c r="L210" i="1"/>
  <c r="L225" i="1"/>
  <c r="L226" i="1"/>
  <c r="L227" i="1"/>
  <c r="C12" i="10" s="1"/>
  <c r="L228" i="1"/>
  <c r="F6" i="13"/>
  <c r="G6" i="13"/>
  <c r="L230" i="1"/>
  <c r="F7" i="13"/>
  <c r="F33" i="13" s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F652" i="1" s="1"/>
  <c r="F17" i="13"/>
  <c r="G17" i="13"/>
  <c r="L243" i="1"/>
  <c r="F18" i="13"/>
  <c r="G18" i="13"/>
  <c r="L244" i="1"/>
  <c r="D18" i="13" s="1"/>
  <c r="C18" i="13" s="1"/>
  <c r="F19" i="13"/>
  <c r="G19" i="13"/>
  <c r="L245" i="1"/>
  <c r="C106" i="2" s="1"/>
  <c r="F29" i="13"/>
  <c r="G29" i="13"/>
  <c r="L350" i="1"/>
  <c r="L351" i="1"/>
  <c r="L352" i="1"/>
  <c r="D29" i="13" s="1"/>
  <c r="C29" i="13" s="1"/>
  <c r="I359" i="1"/>
  <c r="I361" i="1" s="1"/>
  <c r="H624" i="1" s="1"/>
  <c r="J282" i="1"/>
  <c r="J301" i="1"/>
  <c r="J330" i="1" s="1"/>
  <c r="J344" i="1" s="1"/>
  <c r="J320" i="1"/>
  <c r="F31" i="13" s="1"/>
  <c r="K301" i="1"/>
  <c r="K320" i="1"/>
  <c r="L271" i="1"/>
  <c r="C13" i="10" s="1"/>
  <c r="L275" i="1"/>
  <c r="L276" i="1"/>
  <c r="L277" i="1"/>
  <c r="L278" i="1"/>
  <c r="E115" i="2" s="1"/>
  <c r="L279" i="1"/>
  <c r="E116" i="2" s="1"/>
  <c r="L280" i="1"/>
  <c r="L287" i="1"/>
  <c r="L288" i="1"/>
  <c r="L289" i="1"/>
  <c r="L290" i="1"/>
  <c r="L301" i="1" s="1"/>
  <c r="L292" i="1"/>
  <c r="L293" i="1"/>
  <c r="L294" i="1"/>
  <c r="L295" i="1"/>
  <c r="L296" i="1"/>
  <c r="L297" i="1"/>
  <c r="L298" i="1"/>
  <c r="L299" i="1"/>
  <c r="L306" i="1"/>
  <c r="L307" i="1"/>
  <c r="L308" i="1"/>
  <c r="L309" i="1"/>
  <c r="L311" i="1"/>
  <c r="L312" i="1"/>
  <c r="L313" i="1"/>
  <c r="L314" i="1"/>
  <c r="L315" i="1"/>
  <c r="L316" i="1"/>
  <c r="L317" i="1"/>
  <c r="L318" i="1"/>
  <c r="L325" i="1"/>
  <c r="L326" i="1"/>
  <c r="L327" i="1"/>
  <c r="L252" i="1"/>
  <c r="C123" i="2" s="1"/>
  <c r="L253" i="1"/>
  <c r="C25" i="10" s="1"/>
  <c r="L333" i="1"/>
  <c r="E123" i="2" s="1"/>
  <c r="L334" i="1"/>
  <c r="L247" i="1"/>
  <c r="L328" i="1"/>
  <c r="C29" i="10" s="1"/>
  <c r="F22" i="13"/>
  <c r="C22" i="13" s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C31" i="12"/>
  <c r="B13" i="12"/>
  <c r="C9" i="12"/>
  <c r="C13" i="12"/>
  <c r="B18" i="12"/>
  <c r="B22" i="12"/>
  <c r="A22" i="12" s="1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F2" i="11"/>
  <c r="L603" i="1"/>
  <c r="H653" i="1" s="1"/>
  <c r="L602" i="1"/>
  <c r="G653" i="1" s="1"/>
  <c r="C40" i="10"/>
  <c r="F52" i="1"/>
  <c r="G52" i="1"/>
  <c r="G104" i="1" s="1"/>
  <c r="G185" i="1" s="1"/>
  <c r="G618" i="1" s="1"/>
  <c r="J618" i="1" s="1"/>
  <c r="H52" i="1"/>
  <c r="I52" i="1"/>
  <c r="I104" i="1" s="1"/>
  <c r="C35" i="10"/>
  <c r="F71" i="1"/>
  <c r="C49" i="2" s="1"/>
  <c r="F86" i="1"/>
  <c r="C50" i="2" s="1"/>
  <c r="H71" i="1"/>
  <c r="E49" i="2" s="1"/>
  <c r="E54" i="2" s="1"/>
  <c r="H86" i="1"/>
  <c r="E50" i="2" s="1"/>
  <c r="H103" i="1"/>
  <c r="I103" i="1"/>
  <c r="J103" i="1"/>
  <c r="J104" i="1"/>
  <c r="C37" i="10"/>
  <c r="F113" i="1"/>
  <c r="F128" i="1"/>
  <c r="G113" i="1"/>
  <c r="G128" i="1"/>
  <c r="G132" i="1"/>
  <c r="H113" i="1"/>
  <c r="H132" i="1" s="1"/>
  <c r="H128" i="1"/>
  <c r="I113" i="1"/>
  <c r="I128" i="1"/>
  <c r="I132" i="1"/>
  <c r="J113" i="1"/>
  <c r="J132" i="1" s="1"/>
  <c r="J128" i="1"/>
  <c r="F139" i="1"/>
  <c r="F154" i="1"/>
  <c r="G139" i="1"/>
  <c r="G154" i="1"/>
  <c r="G161" i="1" s="1"/>
  <c r="H139" i="1"/>
  <c r="H161" i="1" s="1"/>
  <c r="H154" i="1"/>
  <c r="I139" i="1"/>
  <c r="I154" i="1"/>
  <c r="I161" i="1"/>
  <c r="C19" i="10"/>
  <c r="C20" i="10"/>
  <c r="L242" i="1"/>
  <c r="L324" i="1"/>
  <c r="L246" i="1"/>
  <c r="C24" i="10"/>
  <c r="L260" i="1"/>
  <c r="C26" i="10" s="1"/>
  <c r="L261" i="1"/>
  <c r="L341" i="1"/>
  <c r="L342" i="1"/>
  <c r="I655" i="1"/>
  <c r="I660" i="1"/>
  <c r="I659" i="1"/>
  <c r="C42" i="10"/>
  <c r="C32" i="10"/>
  <c r="L366" i="1"/>
  <c r="L367" i="1"/>
  <c r="L368" i="1"/>
  <c r="L369" i="1"/>
  <c r="L374" i="1" s="1"/>
  <c r="G626" i="1" s="1"/>
  <c r="J626" i="1" s="1"/>
  <c r="L370" i="1"/>
  <c r="L371" i="1"/>
  <c r="L372" i="1"/>
  <c r="B2" i="10"/>
  <c r="L336" i="1"/>
  <c r="L337" i="1"/>
  <c r="E127" i="2" s="1"/>
  <c r="L338" i="1"/>
  <c r="E129" i="2" s="1"/>
  <c r="L339" i="1"/>
  <c r="K343" i="1"/>
  <c r="L512" i="1"/>
  <c r="F540" i="1" s="1"/>
  <c r="L517" i="1"/>
  <c r="G540" i="1"/>
  <c r="L522" i="1"/>
  <c r="H540" i="1" s="1"/>
  <c r="L523" i="1"/>
  <c r="H541" i="1" s="1"/>
  <c r="L526" i="1"/>
  <c r="I539" i="1" s="1"/>
  <c r="L527" i="1"/>
  <c r="L529" i="1" s="1"/>
  <c r="I540" i="1"/>
  <c r="L528" i="1"/>
  <c r="I541" i="1" s="1"/>
  <c r="L532" i="1"/>
  <c r="J540" i="1" s="1"/>
  <c r="L533" i="1"/>
  <c r="J541" i="1" s="1"/>
  <c r="E124" i="2"/>
  <c r="K262" i="1"/>
  <c r="J262" i="1"/>
  <c r="I262" i="1"/>
  <c r="H262" i="1"/>
  <c r="G262" i="1"/>
  <c r="F262" i="1"/>
  <c r="L262" i="1" s="1"/>
  <c r="A1" i="2"/>
  <c r="A2" i="2"/>
  <c r="C9" i="2"/>
  <c r="D9" i="2"/>
  <c r="E9" i="2"/>
  <c r="E19" i="2" s="1"/>
  <c r="F9" i="2"/>
  <c r="I431" i="1"/>
  <c r="J9" i="1" s="1"/>
  <c r="C10" i="2"/>
  <c r="D10" i="2"/>
  <c r="E10" i="2"/>
  <c r="F10" i="2"/>
  <c r="I432" i="1"/>
  <c r="J10" i="1" s="1"/>
  <c r="G10" i="2" s="1"/>
  <c r="C11" i="2"/>
  <c r="C12" i="2"/>
  <c r="C19" i="2" s="1"/>
  <c r="D12" i="2"/>
  <c r="D19" i="2" s="1"/>
  <c r="E12" i="2"/>
  <c r="F12" i="2"/>
  <c r="I433" i="1"/>
  <c r="J12" i="1"/>
  <c r="G12" i="2"/>
  <c r="C13" i="2"/>
  <c r="D13" i="2"/>
  <c r="E13" i="2"/>
  <c r="F13" i="2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F19" i="2"/>
  <c r="I437" i="1"/>
  <c r="J18" i="1"/>
  <c r="G18" i="2"/>
  <c r="C22" i="2"/>
  <c r="C32" i="2" s="1"/>
  <c r="D22" i="2"/>
  <c r="E22" i="2"/>
  <c r="E32" i="2" s="1"/>
  <c r="F22" i="2"/>
  <c r="I440" i="1"/>
  <c r="J23" i="1" s="1"/>
  <c r="C23" i="2"/>
  <c r="C24" i="2"/>
  <c r="C25" i="2"/>
  <c r="C26" i="2"/>
  <c r="C27" i="2"/>
  <c r="C28" i="2"/>
  <c r="C29" i="2"/>
  <c r="C30" i="2"/>
  <c r="C31" i="2"/>
  <c r="D23" i="2"/>
  <c r="E23" i="2"/>
  <c r="F23" i="2"/>
  <c r="F32" i="2" s="1"/>
  <c r="I441" i="1"/>
  <c r="J24" i="1" s="1"/>
  <c r="G23" i="2" s="1"/>
  <c r="D24" i="2"/>
  <c r="E24" i="2"/>
  <c r="F24" i="2"/>
  <c r="I442" i="1"/>
  <c r="J25" i="1" s="1"/>
  <c r="G24" i="2" s="1"/>
  <c r="D25" i="2"/>
  <c r="E25" i="2"/>
  <c r="F25" i="2"/>
  <c r="F26" i="2"/>
  <c r="F27" i="2"/>
  <c r="D28" i="2"/>
  <c r="E28" i="2"/>
  <c r="F28" i="2"/>
  <c r="D29" i="2"/>
  <c r="E29" i="2"/>
  <c r="F29" i="2"/>
  <c r="D30" i="2"/>
  <c r="E30" i="2"/>
  <c r="F30" i="2"/>
  <c r="D31" i="2"/>
  <c r="D32" i="2" s="1"/>
  <c r="E31" i="2"/>
  <c r="F31" i="2"/>
  <c r="I443" i="1"/>
  <c r="J32" i="1"/>
  <c r="G31" i="2"/>
  <c r="C34" i="2"/>
  <c r="C42" i="2" s="1"/>
  <c r="D34" i="2"/>
  <c r="D42" i="2" s="1"/>
  <c r="D43" i="2" s="1"/>
  <c r="E34" i="2"/>
  <c r="F34" i="2"/>
  <c r="C35" i="2"/>
  <c r="D35" i="2"/>
  <c r="E35" i="2"/>
  <c r="F35" i="2"/>
  <c r="F42" i="2" s="1"/>
  <c r="C36" i="2"/>
  <c r="D36" i="2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D48" i="2"/>
  <c r="E48" i="2"/>
  <c r="F48" i="2"/>
  <c r="F55" i="2" s="1"/>
  <c r="C51" i="2"/>
  <c r="D51" i="2"/>
  <c r="E51" i="2"/>
  <c r="F51" i="2"/>
  <c r="D53" i="2"/>
  <c r="E53" i="2"/>
  <c r="F53" i="2"/>
  <c r="C58" i="2"/>
  <c r="C62" i="2" s="1"/>
  <c r="C59" i="2"/>
  <c r="C61" i="2"/>
  <c r="D61" i="2"/>
  <c r="D62" i="2" s="1"/>
  <c r="E61" i="2"/>
  <c r="E62" i="2" s="1"/>
  <c r="F61" i="2"/>
  <c r="F62" i="2"/>
  <c r="G61" i="2"/>
  <c r="G62" i="2" s="1"/>
  <c r="C64" i="2"/>
  <c r="F64" i="2"/>
  <c r="F70" i="2" s="1"/>
  <c r="F73" i="2" s="1"/>
  <c r="C65" i="2"/>
  <c r="F65" i="2"/>
  <c r="C66" i="2"/>
  <c r="C67" i="2"/>
  <c r="C68" i="2"/>
  <c r="C69" i="2"/>
  <c r="C70" i="2"/>
  <c r="C73" i="2" s="1"/>
  <c r="E68" i="2"/>
  <c r="E70" i="2" s="1"/>
  <c r="F68" i="2"/>
  <c r="D69" i="2"/>
  <c r="D70" i="2" s="1"/>
  <c r="E69" i="2"/>
  <c r="F69" i="2"/>
  <c r="G69" i="2"/>
  <c r="G70" i="2" s="1"/>
  <c r="G73" i="2" s="1"/>
  <c r="C71" i="2"/>
  <c r="D71" i="2"/>
  <c r="E71" i="2"/>
  <c r="C72" i="2"/>
  <c r="E72" i="2"/>
  <c r="C77" i="2"/>
  <c r="D77" i="2"/>
  <c r="D80" i="2"/>
  <c r="D81" i="2"/>
  <c r="D83" i="2" s="1"/>
  <c r="F77" i="2"/>
  <c r="C79" i="2"/>
  <c r="E79" i="2"/>
  <c r="F79" i="2"/>
  <c r="F83" i="2" s="1"/>
  <c r="C80" i="2"/>
  <c r="C83" i="2" s="1"/>
  <c r="E80" i="2"/>
  <c r="F80" i="2"/>
  <c r="C81" i="2"/>
  <c r="E81" i="2"/>
  <c r="F81" i="2"/>
  <c r="C82" i="2"/>
  <c r="C85" i="2"/>
  <c r="C95" i="2" s="1"/>
  <c r="C86" i="2"/>
  <c r="C89" i="2"/>
  <c r="C90" i="2"/>
  <c r="C91" i="2"/>
  <c r="C92" i="2"/>
  <c r="C93" i="2"/>
  <c r="C94" i="2"/>
  <c r="F85" i="2"/>
  <c r="F95" i="2" s="1"/>
  <c r="F86" i="2"/>
  <c r="D88" i="2"/>
  <c r="D95" i="2" s="1"/>
  <c r="E88" i="2"/>
  <c r="F88" i="2"/>
  <c r="G88" i="2"/>
  <c r="D89" i="2"/>
  <c r="E89" i="2"/>
  <c r="E95" i="2" s="1"/>
  <c r="F89" i="2"/>
  <c r="G89" i="2"/>
  <c r="D90" i="2"/>
  <c r="E90" i="2"/>
  <c r="G90" i="2"/>
  <c r="D91" i="2"/>
  <c r="E91" i="2"/>
  <c r="F91" i="2"/>
  <c r="D92" i="2"/>
  <c r="E92" i="2"/>
  <c r="F92" i="2"/>
  <c r="D93" i="2"/>
  <c r="E93" i="2"/>
  <c r="F93" i="2"/>
  <c r="D94" i="2"/>
  <c r="E94" i="2"/>
  <c r="F94" i="2"/>
  <c r="G95" i="2"/>
  <c r="C104" i="2"/>
  <c r="E104" i="2"/>
  <c r="C105" i="2"/>
  <c r="E105" i="2"/>
  <c r="E106" i="2"/>
  <c r="D107" i="2"/>
  <c r="F107" i="2"/>
  <c r="G107" i="2"/>
  <c r="E112" i="2"/>
  <c r="E113" i="2"/>
  <c r="E114" i="2"/>
  <c r="C117" i="2"/>
  <c r="E117" i="2"/>
  <c r="F120" i="2"/>
  <c r="G120" i="2"/>
  <c r="C122" i="2"/>
  <c r="E122" i="2"/>
  <c r="E136" i="2" s="1"/>
  <c r="F122" i="2"/>
  <c r="F136" i="2" s="1"/>
  <c r="F126" i="2"/>
  <c r="D126" i="2"/>
  <c r="D136" i="2" s="1"/>
  <c r="E126" i="2"/>
  <c r="K411" i="1"/>
  <c r="K419" i="1"/>
  <c r="K425" i="1"/>
  <c r="K426" i="1"/>
  <c r="G126" i="2"/>
  <c r="G136" i="2" s="1"/>
  <c r="G137" i="2" s="1"/>
  <c r="L255" i="1"/>
  <c r="C127" i="2" s="1"/>
  <c r="L256" i="1"/>
  <c r="C128" i="2"/>
  <c r="L257" i="1"/>
  <c r="C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490" i="1"/>
  <c r="C153" i="2" s="1"/>
  <c r="H490" i="1"/>
  <c r="D153" i="2"/>
  <c r="I490" i="1"/>
  <c r="E153" i="2"/>
  <c r="J490" i="1"/>
  <c r="F153" i="2" s="1"/>
  <c r="B154" i="2"/>
  <c r="C154" i="2"/>
  <c r="G154" i="2" s="1"/>
  <c r="D154" i="2"/>
  <c r="E154" i="2"/>
  <c r="F154" i="2"/>
  <c r="B155" i="2"/>
  <c r="C155" i="2"/>
  <c r="D155" i="2"/>
  <c r="E155" i="2"/>
  <c r="G155" i="2" s="1"/>
  <c r="F155" i="2"/>
  <c r="F493" i="1"/>
  <c r="B156" i="2" s="1"/>
  <c r="G493" i="1"/>
  <c r="C156" i="2"/>
  <c r="H493" i="1"/>
  <c r="D156" i="2" s="1"/>
  <c r="I493" i="1"/>
  <c r="E156" i="2" s="1"/>
  <c r="J493" i="1"/>
  <c r="F156" i="2" s="1"/>
  <c r="F19" i="1"/>
  <c r="G607" i="1" s="1"/>
  <c r="G19" i="1"/>
  <c r="H19" i="1"/>
  <c r="I19" i="1"/>
  <c r="F33" i="1"/>
  <c r="G33" i="1"/>
  <c r="H33" i="1"/>
  <c r="I33" i="1"/>
  <c r="F43" i="1"/>
  <c r="F44" i="1" s="1"/>
  <c r="H607" i="1" s="1"/>
  <c r="G43" i="1"/>
  <c r="G44" i="1" s="1"/>
  <c r="H608" i="1" s="1"/>
  <c r="H43" i="1"/>
  <c r="H44" i="1" s="1"/>
  <c r="H609" i="1" s="1"/>
  <c r="J609" i="1" s="1"/>
  <c r="I43" i="1"/>
  <c r="I44" i="1" s="1"/>
  <c r="H610" i="1" s="1"/>
  <c r="J610" i="1" s="1"/>
  <c r="F169" i="1"/>
  <c r="F184" i="1" s="1"/>
  <c r="I169" i="1"/>
  <c r="I184" i="1" s="1"/>
  <c r="F175" i="1"/>
  <c r="G175" i="1"/>
  <c r="G184" i="1" s="1"/>
  <c r="H175" i="1"/>
  <c r="I175" i="1"/>
  <c r="J175" i="1"/>
  <c r="G635" i="1" s="1"/>
  <c r="F180" i="1"/>
  <c r="G180" i="1"/>
  <c r="H180" i="1"/>
  <c r="H184" i="1"/>
  <c r="I180" i="1"/>
  <c r="I203" i="1"/>
  <c r="J203" i="1"/>
  <c r="F221" i="1"/>
  <c r="G221" i="1"/>
  <c r="J221" i="1"/>
  <c r="F239" i="1"/>
  <c r="I239" i="1"/>
  <c r="J239" i="1"/>
  <c r="F248" i="1"/>
  <c r="G248" i="1"/>
  <c r="H248" i="1"/>
  <c r="I248" i="1"/>
  <c r="J248" i="1"/>
  <c r="K248" i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H329" i="1"/>
  <c r="L329" i="1" s="1"/>
  <c r="I329" i="1"/>
  <c r="J329" i="1"/>
  <c r="K329" i="1"/>
  <c r="F354" i="1"/>
  <c r="G354" i="1"/>
  <c r="H354" i="1"/>
  <c r="I354" i="1"/>
  <c r="G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I393" i="1"/>
  <c r="I400" i="1" s="1"/>
  <c r="F399" i="1"/>
  <c r="F400" i="1" s="1"/>
  <c r="H633" i="1" s="1"/>
  <c r="J633" i="1" s="1"/>
  <c r="G399" i="1"/>
  <c r="H399" i="1"/>
  <c r="I399" i="1"/>
  <c r="G400" i="1"/>
  <c r="H635" i="1" s="1"/>
  <c r="L405" i="1"/>
  <c r="L406" i="1"/>
  <c r="L407" i="1"/>
  <c r="L408" i="1"/>
  <c r="L411" i="1" s="1"/>
  <c r="L409" i="1"/>
  <c r="L410" i="1"/>
  <c r="F411" i="1"/>
  <c r="F426" i="1" s="1"/>
  <c r="G411" i="1"/>
  <c r="G426" i="1" s="1"/>
  <c r="H411" i="1"/>
  <c r="H426" i="1" s="1"/>
  <c r="I411" i="1"/>
  <c r="J411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I426" i="1"/>
  <c r="J426" i="1"/>
  <c r="H438" i="1"/>
  <c r="F444" i="1"/>
  <c r="F451" i="1" s="1"/>
  <c r="H629" i="1" s="1"/>
  <c r="G444" i="1"/>
  <c r="G451" i="1" s="1"/>
  <c r="H630" i="1" s="1"/>
  <c r="H444" i="1"/>
  <c r="H451" i="1" s="1"/>
  <c r="H631" i="1" s="1"/>
  <c r="J631" i="1" s="1"/>
  <c r="F450" i="1"/>
  <c r="G450" i="1"/>
  <c r="H450" i="1"/>
  <c r="I450" i="1"/>
  <c r="F460" i="1"/>
  <c r="F466" i="1" s="1"/>
  <c r="H612" i="1" s="1"/>
  <c r="J612" i="1" s="1"/>
  <c r="G460" i="1"/>
  <c r="G466" i="1" s="1"/>
  <c r="H613" i="1" s="1"/>
  <c r="J613" i="1" s="1"/>
  <c r="H460" i="1"/>
  <c r="H466" i="1" s="1"/>
  <c r="H614" i="1" s="1"/>
  <c r="I460" i="1"/>
  <c r="J460" i="1"/>
  <c r="F464" i="1"/>
  <c r="G464" i="1"/>
  <c r="H464" i="1"/>
  <c r="I464" i="1"/>
  <c r="J464" i="1"/>
  <c r="I466" i="1"/>
  <c r="H615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G514" i="1"/>
  <c r="H514" i="1"/>
  <c r="I514" i="1"/>
  <c r="K514" i="1"/>
  <c r="K535" i="1" s="1"/>
  <c r="F519" i="1"/>
  <c r="G519" i="1"/>
  <c r="I519" i="1"/>
  <c r="J519" i="1"/>
  <c r="K519" i="1"/>
  <c r="F524" i="1"/>
  <c r="H524" i="1"/>
  <c r="I524" i="1"/>
  <c r="I535" i="1" s="1"/>
  <c r="J524" i="1"/>
  <c r="K524" i="1"/>
  <c r="F529" i="1"/>
  <c r="G529" i="1"/>
  <c r="H529" i="1"/>
  <c r="I529" i="1"/>
  <c r="J529" i="1"/>
  <c r="K529" i="1"/>
  <c r="F534" i="1"/>
  <c r="G534" i="1"/>
  <c r="H534" i="1"/>
  <c r="J534" i="1"/>
  <c r="K534" i="1"/>
  <c r="L547" i="1"/>
  <c r="L550" i="1" s="1"/>
  <c r="L548" i="1"/>
  <c r="L549" i="1"/>
  <c r="F550" i="1"/>
  <c r="G550" i="1"/>
  <c r="H550" i="1"/>
  <c r="I550" i="1"/>
  <c r="J550" i="1"/>
  <c r="J561" i="1" s="1"/>
  <c r="K550" i="1"/>
  <c r="L552" i="1"/>
  <c r="L553" i="1"/>
  <c r="L554" i="1"/>
  <c r="F555" i="1"/>
  <c r="G555" i="1"/>
  <c r="H555" i="1"/>
  <c r="I555" i="1"/>
  <c r="J555" i="1"/>
  <c r="K555" i="1"/>
  <c r="K561" i="1" s="1"/>
  <c r="L555" i="1"/>
  <c r="L557" i="1"/>
  <c r="L560" i="1" s="1"/>
  <c r="L558" i="1"/>
  <c r="L559" i="1"/>
  <c r="F560" i="1"/>
  <c r="G560" i="1"/>
  <c r="H560" i="1"/>
  <c r="I560" i="1"/>
  <c r="J560" i="1"/>
  <c r="K560" i="1"/>
  <c r="G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5" i="1"/>
  <c r="K586" i="1"/>
  <c r="K587" i="1"/>
  <c r="K592" i="1"/>
  <c r="K595" i="1" s="1"/>
  <c r="G638" i="1" s="1"/>
  <c r="J638" i="1" s="1"/>
  <c r="K593" i="1"/>
  <c r="K594" i="1"/>
  <c r="H595" i="1"/>
  <c r="I595" i="1"/>
  <c r="J595" i="1"/>
  <c r="F604" i="1"/>
  <c r="H604" i="1"/>
  <c r="I604" i="1"/>
  <c r="J604" i="1"/>
  <c r="K604" i="1"/>
  <c r="G608" i="1"/>
  <c r="G609" i="1"/>
  <c r="G610" i="1"/>
  <c r="G612" i="1"/>
  <c r="G613" i="1"/>
  <c r="H617" i="1"/>
  <c r="H618" i="1"/>
  <c r="H619" i="1"/>
  <c r="H620" i="1"/>
  <c r="H621" i="1"/>
  <c r="H622" i="1"/>
  <c r="H623" i="1"/>
  <c r="H625" i="1"/>
  <c r="H626" i="1"/>
  <c r="H627" i="1"/>
  <c r="H628" i="1"/>
  <c r="G631" i="1"/>
  <c r="G633" i="1"/>
  <c r="G634" i="1"/>
  <c r="G639" i="1"/>
  <c r="G642" i="1"/>
  <c r="H642" i="1"/>
  <c r="J642" i="1" s="1"/>
  <c r="G643" i="1"/>
  <c r="J643" i="1" s="1"/>
  <c r="H643" i="1"/>
  <c r="G644" i="1"/>
  <c r="H644" i="1"/>
  <c r="J644" i="1"/>
  <c r="G645" i="1"/>
  <c r="H645" i="1"/>
  <c r="J466" i="1"/>
  <c r="H616" i="1"/>
  <c r="C23" i="10"/>
  <c r="F161" i="1"/>
  <c r="G54" i="2"/>
  <c r="L320" i="1"/>
  <c r="H561" i="1"/>
  <c r="F561" i="1"/>
  <c r="L248" i="1"/>
  <c r="A31" i="12"/>
  <c r="J249" i="1"/>
  <c r="H638" i="1" s="1"/>
  <c r="J645" i="1"/>
  <c r="F132" i="1"/>
  <c r="F54" i="2"/>
  <c r="D17" i="13"/>
  <c r="C17" i="13" s="1"/>
  <c r="E42" i="2"/>
  <c r="E43" i="2" s="1"/>
  <c r="C5" i="10"/>
  <c r="K282" i="1"/>
  <c r="G31" i="13"/>
  <c r="L270" i="1"/>
  <c r="E103" i="2" s="1"/>
  <c r="K330" i="1"/>
  <c r="K344" i="1" s="1"/>
  <c r="C6" i="10"/>
  <c r="J608" i="1" l="1"/>
  <c r="L561" i="1"/>
  <c r="H535" i="1"/>
  <c r="C54" i="2"/>
  <c r="C55" i="2" s="1"/>
  <c r="C96" i="2" s="1"/>
  <c r="G96" i="2"/>
  <c r="G33" i="13"/>
  <c r="J539" i="1"/>
  <c r="J542" i="1" s="1"/>
  <c r="L534" i="1"/>
  <c r="D73" i="2"/>
  <c r="L426" i="1"/>
  <c r="G628" i="1" s="1"/>
  <c r="J628" i="1" s="1"/>
  <c r="G153" i="2"/>
  <c r="G9" i="2"/>
  <c r="K540" i="1"/>
  <c r="I185" i="1"/>
  <c r="G620" i="1" s="1"/>
  <c r="J620" i="1" s="1"/>
  <c r="C10" i="10"/>
  <c r="C101" i="2"/>
  <c r="D5" i="13"/>
  <c r="L203" i="1"/>
  <c r="D7" i="13"/>
  <c r="C7" i="13" s="1"/>
  <c r="C111" i="2"/>
  <c r="C16" i="10"/>
  <c r="L524" i="1"/>
  <c r="H539" i="1"/>
  <c r="H542" i="1" s="1"/>
  <c r="L239" i="1"/>
  <c r="H650" i="1" s="1"/>
  <c r="C11" i="10"/>
  <c r="C102" i="2"/>
  <c r="H637" i="1"/>
  <c r="J637" i="1" s="1"/>
  <c r="G640" i="1"/>
  <c r="J640" i="1" s="1"/>
  <c r="G652" i="1"/>
  <c r="C21" i="10"/>
  <c r="D15" i="13"/>
  <c r="C15" i="13" s="1"/>
  <c r="I249" i="1"/>
  <c r="I263" i="1" s="1"/>
  <c r="J607" i="1"/>
  <c r="E73" i="2"/>
  <c r="G36" i="2"/>
  <c r="G42" i="2" s="1"/>
  <c r="G43" i="2" s="1"/>
  <c r="J43" i="1"/>
  <c r="C43" i="2"/>
  <c r="D6" i="13"/>
  <c r="C6" i="13" s="1"/>
  <c r="C112" i="2"/>
  <c r="E8" i="13"/>
  <c r="C17" i="10"/>
  <c r="C39" i="10"/>
  <c r="F96" i="2"/>
  <c r="C130" i="2"/>
  <c r="E55" i="2"/>
  <c r="G22" i="2"/>
  <c r="G32" i="2" s="1"/>
  <c r="J33" i="1"/>
  <c r="J185" i="1"/>
  <c r="J629" i="1"/>
  <c r="J630" i="1"/>
  <c r="F539" i="1"/>
  <c r="C38" i="10"/>
  <c r="J624" i="1"/>
  <c r="H652" i="1"/>
  <c r="I652" i="1" s="1"/>
  <c r="G641" i="1"/>
  <c r="J641" i="1" s="1"/>
  <c r="F43" i="2"/>
  <c r="J635" i="1"/>
  <c r="G156" i="2"/>
  <c r="F137" i="2"/>
  <c r="I542" i="1"/>
  <c r="L393" i="1"/>
  <c r="C131" i="2" s="1"/>
  <c r="C133" i="2" s="1"/>
  <c r="C136" i="2" s="1"/>
  <c r="H282" i="1"/>
  <c r="H330" i="1" s="1"/>
  <c r="H344" i="1" s="1"/>
  <c r="J263" i="1"/>
  <c r="D19" i="13"/>
  <c r="C19" i="13" s="1"/>
  <c r="H25" i="13"/>
  <c r="H104" i="1"/>
  <c r="H185" i="1" s="1"/>
  <c r="G619" i="1" s="1"/>
  <c r="J619" i="1" s="1"/>
  <c r="H588" i="1"/>
  <c r="H639" i="1" s="1"/>
  <c r="J639" i="1" s="1"/>
  <c r="H393" i="1"/>
  <c r="H400" i="1" s="1"/>
  <c r="H634" i="1" s="1"/>
  <c r="J634" i="1" s="1"/>
  <c r="H203" i="1"/>
  <c r="H249" i="1" s="1"/>
  <c r="H263" i="1" s="1"/>
  <c r="C103" i="2"/>
  <c r="C53" i="2"/>
  <c r="I434" i="1"/>
  <c r="L601" i="1"/>
  <c r="L212" i="1"/>
  <c r="C15" i="10" s="1"/>
  <c r="E13" i="13"/>
  <c r="C13" i="13" s="1"/>
  <c r="G524" i="1"/>
  <c r="G535" i="1" s="1"/>
  <c r="K490" i="1"/>
  <c r="F282" i="1"/>
  <c r="F330" i="1" s="1"/>
  <c r="F344" i="1" s="1"/>
  <c r="G239" i="1"/>
  <c r="G249" i="1" s="1"/>
  <c r="G263" i="1" s="1"/>
  <c r="C116" i="2"/>
  <c r="D52" i="2"/>
  <c r="D54" i="2" s="1"/>
  <c r="D55" i="2" s="1"/>
  <c r="L516" i="1"/>
  <c r="L268" i="1"/>
  <c r="L343" i="1"/>
  <c r="I444" i="1"/>
  <c r="I451" i="1" s="1"/>
  <c r="H632" i="1" s="1"/>
  <c r="F203" i="1"/>
  <c r="F249" i="1" s="1"/>
  <c r="F263" i="1" s="1"/>
  <c r="G615" i="1"/>
  <c r="J615" i="1" s="1"/>
  <c r="J184" i="1"/>
  <c r="C115" i="2"/>
  <c r="E77" i="2"/>
  <c r="E83" i="2" s="1"/>
  <c r="L513" i="1"/>
  <c r="F541" i="1" s="1"/>
  <c r="K541" i="1" s="1"/>
  <c r="G614" i="1"/>
  <c r="J614" i="1" s="1"/>
  <c r="H651" i="1"/>
  <c r="I221" i="1"/>
  <c r="C124" i="2"/>
  <c r="G651" i="1"/>
  <c r="C113" i="2"/>
  <c r="F651" i="1"/>
  <c r="C18" i="10"/>
  <c r="L354" i="1"/>
  <c r="K203" i="1"/>
  <c r="K249" i="1" s="1"/>
  <c r="K263" i="1" s="1"/>
  <c r="D119" i="2"/>
  <c r="D120" i="2" s="1"/>
  <c r="D137" i="2" s="1"/>
  <c r="F542" i="1" l="1"/>
  <c r="E96" i="2"/>
  <c r="E101" i="2"/>
  <c r="E107" i="2" s="1"/>
  <c r="E137" i="2" s="1"/>
  <c r="L282" i="1"/>
  <c r="L221" i="1"/>
  <c r="G650" i="1" s="1"/>
  <c r="G654" i="1" s="1"/>
  <c r="G616" i="1"/>
  <c r="J616" i="1" s="1"/>
  <c r="J44" i="1"/>
  <c r="H611" i="1" s="1"/>
  <c r="L604" i="1"/>
  <c r="F653" i="1"/>
  <c r="I653" i="1" s="1"/>
  <c r="L519" i="1"/>
  <c r="G539" i="1"/>
  <c r="G542" i="1" s="1"/>
  <c r="H654" i="1"/>
  <c r="C28" i="10"/>
  <c r="D10" i="10"/>
  <c r="I438" i="1"/>
  <c r="G632" i="1" s="1"/>
  <c r="J632" i="1" s="1"/>
  <c r="J13" i="1"/>
  <c r="D96" i="2"/>
  <c r="L400" i="1"/>
  <c r="C25" i="13"/>
  <c r="H33" i="13"/>
  <c r="E33" i="13"/>
  <c r="D35" i="13" s="1"/>
  <c r="C8" i="13"/>
  <c r="I651" i="1"/>
  <c r="C110" i="2"/>
  <c r="C120" i="2" s="1"/>
  <c r="C5" i="13"/>
  <c r="C36" i="10"/>
  <c r="C27" i="10"/>
  <c r="G625" i="1"/>
  <c r="J625" i="1" s="1"/>
  <c r="G636" i="1"/>
  <c r="G621" i="1"/>
  <c r="J621" i="1" s="1"/>
  <c r="F650" i="1"/>
  <c r="L514" i="1"/>
  <c r="L535" i="1" s="1"/>
  <c r="C107" i="2"/>
  <c r="C137" i="2" s="1"/>
  <c r="D22" i="10" l="1"/>
  <c r="C30" i="10"/>
  <c r="D23" i="10"/>
  <c r="D24" i="10"/>
  <c r="D20" i="10"/>
  <c r="D26" i="10"/>
  <c r="D19" i="10"/>
  <c r="D13" i="10"/>
  <c r="D25" i="10"/>
  <c r="D12" i="10"/>
  <c r="D28" i="10" s="1"/>
  <c r="H636" i="1"/>
  <c r="G627" i="1"/>
  <c r="J627" i="1" s="1"/>
  <c r="D17" i="10"/>
  <c r="D11" i="10"/>
  <c r="G13" i="2"/>
  <c r="G19" i="2" s="1"/>
  <c r="J19" i="1"/>
  <c r="G611" i="1" s="1"/>
  <c r="G662" i="1"/>
  <c r="G657" i="1"/>
  <c r="D36" i="10"/>
  <c r="C41" i="10"/>
  <c r="L330" i="1"/>
  <c r="L344" i="1" s="1"/>
  <c r="G623" i="1" s="1"/>
  <c r="J623" i="1" s="1"/>
  <c r="D31" i="13"/>
  <c r="D16" i="10"/>
  <c r="D18" i="10"/>
  <c r="K539" i="1"/>
  <c r="K542" i="1" s="1"/>
  <c r="F654" i="1"/>
  <c r="I650" i="1"/>
  <c r="I654" i="1" s="1"/>
  <c r="L249" i="1"/>
  <c r="L263" i="1" s="1"/>
  <c r="G622" i="1" s="1"/>
  <c r="J622" i="1" s="1"/>
  <c r="D21" i="10"/>
  <c r="H657" i="1"/>
  <c r="H662" i="1"/>
  <c r="J636" i="1"/>
  <c r="D27" i="10"/>
  <c r="D15" i="10"/>
  <c r="C31" i="13" l="1"/>
  <c r="D33" i="13"/>
  <c r="D36" i="13" s="1"/>
  <c r="D37" i="10"/>
  <c r="D40" i="10"/>
  <c r="D35" i="10"/>
  <c r="D39" i="10"/>
  <c r="D38" i="10"/>
  <c r="I662" i="1"/>
  <c r="C7" i="10" s="1"/>
  <c r="I657" i="1"/>
  <c r="J611" i="1"/>
  <c r="H646" i="1"/>
  <c r="F662" i="1"/>
  <c r="C4" i="10" s="1"/>
  <c r="F657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C35AB02-0834-4729-8E4E-FB9C59372BF6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8421482-F18B-47E7-8C92-2DAB86279105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2825D33-5153-48DA-AA6D-C6E32A43BFAE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88ECEEC1-4045-4DD7-9284-DF56A09B2D64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32A718A9-8DA4-4CF2-9FFB-6DFE739ABA86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B4718E3-6B1F-4829-81C2-A9B8FFF2042E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02B4DAE6-4DA3-4C35-B31A-61F8CACE98F7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1D72F0FA-F9FF-4738-9EB8-8795DD00A6D4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AF0789BF-476E-4478-8947-9475F7CBA6A4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DFFE9722-F094-41FE-A4CD-3E277B124EDD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C46A24A0-EE47-4A8F-B66C-1436959278EE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7C4567E-731F-4B4A-B39D-0AFA6FC43BFA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<sst xmlns="http://schemas.openxmlformats.org/spreadsheetml/2006/main" count="3860" uniqueCount="897">
  <si>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</si>
  <si>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</si>
  <si>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</si>
  <si>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</si>
  <si>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</si>
  <si>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</si>
  <si>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</si>
  <si>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</si>
  <si>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</si>
  <si>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</si>
  <si>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</si>
  <si>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</si>
  <si>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</si>
  <si>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</si>
  <si>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</si>
  <si>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</si>
  <si>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</si>
  <si>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</si>
  <si>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</si>
  <si>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</si>
  <si>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</si>
  <si>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</si>
  <si>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</si>
  <si>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</si>
  <si>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</si>
  <si>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</si>
  <si>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</si>
  <si>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</si>
  <si>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</si>
  <si>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</si>
  <si>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</si>
  <si>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</si>
  <si>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</si>
  <si>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</si>
  <si>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</si>
  <si>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</si>
  <si>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</si>
  <si>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</si>
  <si>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</si>
  <si>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</si>
  <si>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</si>
  <si>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</si>
  <si>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</si>
  <si>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</si>
  <si>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</si>
  <si>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</si>
  <si>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</si>
  <si>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</si>
  <si>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</si>
  <si>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</si>
  <si>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</si>
  <si>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</si>
  <si>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</si>
  <si>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</si>
  <si>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</si>
  <si>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</si>
  <si>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</si>
  <si>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</si>
  <si>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</si>
  <si>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</si>
  <si>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</si>
  <si>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</si>
  <si>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</si>
  <si>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</si>
  <si>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</si>
  <si>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</si>
  <si>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</si>
  <si>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</si>
  <si>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</si>
  <si>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</si>
  <si>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</si>
  <si>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</si>
  <si>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</si>
  <si>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</si>
  <si>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</si>
  <si>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</si>
  <si>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</si>
  <si>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</si>
  <si>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</si>
  <si>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</si>
  <si>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</si>
  <si>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</si>
  <si>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</si>
  <si>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</si>
  <si>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</si>
  <si>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</si>
  <si>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</si>
  <si>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</si>
  <si>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</si>
  <si>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</si>
  <si>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</si>
  <si>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</si>
  <si>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</si>
  <si>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</si>
  <si>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</si>
  <si>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</si>
  <si>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</si>
  <si>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</si>
  <si>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</si>
  <si>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</si>
  <si>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</si>
  <si>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</si>
  <si>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</si>
  <si>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</si>
  <si>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</si>
  <si>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</si>
  <si>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</si>
  <si>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</si>
  <si>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</si>
  <si>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</si>
  <si>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</si>
  <si>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</si>
  <si>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</si>
  <si>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</si>
  <si>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</si>
  <si>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</si>
  <si>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</si>
  <si>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</si>
  <si>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</si>
  <si>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</si>
  <si>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</si>
  <si>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</si>
  <si>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</si>
  <si>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</si>
  <si>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</si>
  <si>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</si>
  <si>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</si>
  <si>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</si>
  <si>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</si>
  <si>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</si>
  <si>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</si>
  <si>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</si>
  <si>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</si>
  <si>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</si>
  <si>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</si>
  <si>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</si>
  <si>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</si>
  <si>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</si>
  <si>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</si>
  <si>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</si>
  <si>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</si>
  <si>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</si>
  <si>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</si>
  <si>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</si>
  <si>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</si>
  <si>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</si>
  <si>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</si>
  <si>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</si>
  <si>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</si>
  <si>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</si>
  <si>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</si>
  <si>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</si>
  <si>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</si>
  <si>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</si>
  <si>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</si>
  <si>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</si>
  <si>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</si>
  <si>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</si>
  <si>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</si>
  <si>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</si>
  <si>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</si>
  <si>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</si>
  <si>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</si>
  <si>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</si>
  <si>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</si>
  <si>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</si>
  <si>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</si>
  <si>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</si>
  <si>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</si>
  <si>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</si>
  <si>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</si>
  <si>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</si>
  <si>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</si>
  <si>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</si>
  <si>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</si>
  <si>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</si>
  <si>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</si>
  <si>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</si>
  <si>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</si>
  <si>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</si>
  <si>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</si>
  <si>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</si>
  <si>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</si>
  <si>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</si>
  <si>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</si>
  <si>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</si>
  <si>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</si>
  <si>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</si>
  <si>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</si>
  <si>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</si>
  <si>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</si>
  <si>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</si>
  <si>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</si>
  <si>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</si>
  <si>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</si>
  <si>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</si>
  <si>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</si>
  <si>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</si>
  <si>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</si>
  <si>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</si>
  <si>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</si>
  <si>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</si>
  <si>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</si>
  <si>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</si>
  <si>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</si>
  <si>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</si>
  <si>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</si>
  <si>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</si>
  <si>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</si>
  <si>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</si>
  <si>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</si>
  <si>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</si>
  <si>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</si>
  <si>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</si>
  <si>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</si>
  <si>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</si>
  <si>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</si>
  <si>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</si>
  <si>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</si>
  <si>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</si>
  <si>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</si>
  <si>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</si>
  <si>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</si>
  <si>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</si>
  <si>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</si>
  <si>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</si>
  <si>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</si>
  <si>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</si>
  <si>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</si>
  <si>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</si>
  <si>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</si>
  <si>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</si>
  <si>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</si>
  <si>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</si>
  <si>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</si>
  <si>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</si>
  <si>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</si>
  <si>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</si>
  <si>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</si>
  <si>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</si>
  <si>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</si>
  <si>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</si>
  <si>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</si>
  <si>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</si>
  <si>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</si>
  <si>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</si>
  <si>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</si>
  <si>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</si>
  <si>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</si>
  <si>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</si>
  <si>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</si>
  <si>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</si>
  <si>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</si>
  <si>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</si>
  <si>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</si>
  <si>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</si>
  <si>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</si>
  <si>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</si>
  <si>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</si>
  <si>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</si>
  <si>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</si>
  <si>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</si>
  <si>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</si>
  <si>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</si>
  <si>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</si>
  <si>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</si>
  <si>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</si>
  <si>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</si>
  <si>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</si>
  <si>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</si>
  <si>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</si>
  <si>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</si>
  <si>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</si>
  <si>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</si>
  <si>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</si>
  <si>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</si>
  <si>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</si>
  <si>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</si>
  <si>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</si>
  <si>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</si>
  <si>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</si>
  <si>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</si>
  <si>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</si>
  <si>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</si>
  <si>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</si>
  <si>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</si>
  <si>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</si>
  <si>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</si>
  <si>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</si>
  <si>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</si>
  <si>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</si>
  <si>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</si>
  <si>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</si>
  <si>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</si>
  <si>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</si>
  <si>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</si>
  <si>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</si>
  <si>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</si>
  <si>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</si>
  <si>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</si>
  <si>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</si>
  <si>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</si>
  <si>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</si>
  <si>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</si>
  <si>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</si>
  <si>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</si>
  <si>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</si>
  <si>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</si>
  <si>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</si>
  <si>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</si>
  <si>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</si>
  <si>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</si>
  <si>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</si>
  <si>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</si>
  <si>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</si>
  <si>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</si>
  <si>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</si>
  <si>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</si>
  <si>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</si>
  <si>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</si>
  <si>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</si>
  <si>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</si>
  <si>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</si>
  <si>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</si>
  <si>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</si>
  <si>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</si>
  <si>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</si>
  <si>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</si>
  <si>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</si>
  <si>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</si>
  <si>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</si>
  <si>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</si>
  <si>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</si>
  <si>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</si>
  <si>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</si>
  <si>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</si>
  <si>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</si>
  <si>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</si>
  <si>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</si>
  <si>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</si>
  <si>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</si>
  <si>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</si>
  <si>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</si>
  <si>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</si>
  <si>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</si>
  <si>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</si>
  <si>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</si>
  <si>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</si>
  <si>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</si>
  <si>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</si>
  <si>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</si>
  <si>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</si>
  <si>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</si>
  <si>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</si>
  <si>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</si>
  <si>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</si>
  <si>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</si>
  <si>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</si>
  <si>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</si>
  <si>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</si>
  <si>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</si>
  <si>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</si>
  <si>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</si>
  <si>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</si>
  <si>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</si>
  <si>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</si>
  <si>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</si>
  <si>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</si>
  <si>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</si>
  <si>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</si>
  <si>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</si>
  <si>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</si>
  <si>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</si>
  <si>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</si>
  <si>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</si>
  <si>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</si>
  <si>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</si>
  <si>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</si>
  <si>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</si>
  <si>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</si>
  <si>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</si>
  <si>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</si>
  <si>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</si>
  <si>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</si>
  <si>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</si>
  <si>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</si>
  <si>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</si>
  <si>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</si>
  <si>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</si>
  <si>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</si>
  <si>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</si>
  <si>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</si>
  <si>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</si>
  <si>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</si>
  <si>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</si>
  <si>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</si>
  <si>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</si>
  <si>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</si>
  <si>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</si>
  <si>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</si>
  <si>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</si>
  <si>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</si>
  <si>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</si>
  <si>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</si>
  <si>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</si>
  <si>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</si>
  <si>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</si>
  <si>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</si>
  <si>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</si>
  <si>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</si>
  <si>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</si>
  <si>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</si>
  <si>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</si>
  <si>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</si>
  <si>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</si>
  <si>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</si>
  <si>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</si>
  <si>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</si>
  <si>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</si>
  <si>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</si>
  <si>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</si>
  <si>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</si>
  <si>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</si>
  <si>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</si>
  <si>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</si>
  <si>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</si>
  <si>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</si>
  <si>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</si>
  <si>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</si>
  <si>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</si>
  <si>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</si>
  <si>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</si>
  <si>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</si>
  <si>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</si>
  <si>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</si>
  <si>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</si>
  <si>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</si>
  <si>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</si>
  <si>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</si>
  <si>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</si>
  <si>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</si>
  <si>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</si>
  <si>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</si>
  <si>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</si>
  <si>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</si>
  <si>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</si>
  <si>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</si>
  <si>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</si>
  <si>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</si>
  <si>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</si>
  <si>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</si>
  <si>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</si>
  <si>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</si>
  <si>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</si>
  <si>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</si>
  <si>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</si>
  <si>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</si>
  <si>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</si>
  <si>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</si>
  <si>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</si>
  <si>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</si>
  <si>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</si>
  <si>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</si>
  <si>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</si>
  <si>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</si>
  <si>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</si>
  <si>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</si>
  <si>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</si>
  <si>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</si>
  <si>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</si>
  <si>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</si>
  <si>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</si>
  <si>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</si>
  <si>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</si>
  <si>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</si>
  <si>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</si>
  <si>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</si>
  <si>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</si>
  <si>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</si>
  <si>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</si>
  <si>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</si>
  <si>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</si>
  <si>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</si>
  <si>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</si>
  <si>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</si>
  <si>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</si>
  <si>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</si>
  <si>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</si>
  <si>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</si>
  <si>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</si>
  <si>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</si>
  <si>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</si>
  <si>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</si>
  <si>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</si>
  <si>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</si>
  <si>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</si>
  <si>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</si>
  <si>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</si>
  <si>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</si>
  <si>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</si>
  <si>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</si>
  <si>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</si>
  <si>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</si>
  <si>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</si>
  <si>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</si>
  <si>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</si>
  <si>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</si>
  <si>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</si>
  <si>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</si>
  <si>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</si>
  <si>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</si>
  <si>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</si>
  <si>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</si>
  <si>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</si>
  <si>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</si>
  <si>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</si>
  <si>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</si>
  <si>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</si>
  <si>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</si>
  <si>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</si>
  <si>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</si>
  <si>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</si>
  <si>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</si>
  <si>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</si>
  <si>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</si>
  <si>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</si>
  <si>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</si>
  <si>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</si>
  <si>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</si>
  <si>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</si>
  <si>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</si>
  <si>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</si>
  <si>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</si>
  <si>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</si>
  <si>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</si>
  <si>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</si>
  <si>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</si>
  <si>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</si>
  <si>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</si>
  <si>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</si>
  <si>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</si>
  <si>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</si>
  <si>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</si>
  <si>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</si>
  <si>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</si>
  <si>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</si>
  <si>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</si>
  <si>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</si>
  <si>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</si>
  <si>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</si>
  <si>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</si>
  <si>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</si>
  <si>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</si>
  <si>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</si>
  <si>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</si>
  <si>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</si>
  <si>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</si>
  <si>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</si>
  <si>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</si>
  <si>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</si>
  <si>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</si>
  <si>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</si>
  <si>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</si>
  <si>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</si>
  <si>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</si>
  <si>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</si>
  <si>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</si>
  <si>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</si>
  <si>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</si>
  <si>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</si>
  <si>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</si>
  <si>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</si>
  <si>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</si>
  <si>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</si>
  <si>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</si>
  <si>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</si>
  <si>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</si>
  <si>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</si>
  <si>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</si>
  <si>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</si>
  <si>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</si>
  <si>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</si>
  <si>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</si>
  <si>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</si>
  <si>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</si>
  <si>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</si>
  <si>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</si>
  <si>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</si>
  <si>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</si>
  <si>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</si>
  <si>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</si>
  <si>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</si>
  <si>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</si>
  <si>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</si>
  <si>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</si>
  <si>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</si>
  <si>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</si>
  <si>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</si>
  <si>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</si>
  <si>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</si>
  <si>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</si>
  <si>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</si>
  <si>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</si>
  <si>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</si>
  <si>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</si>
  <si>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</si>
  <si>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</si>
  <si>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</si>
  <si>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</si>
  <si>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</si>
  <si>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</si>
  <si>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</si>
  <si>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</si>
  <si>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</si>
  <si>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</si>
  <si>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</si>
  <si>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</si>
  <si>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</si>
  <si>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</si>
  <si>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</si>
  <si>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</si>
  <si>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</si>
  <si>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</si>
  <si>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</si>
  <si>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</si>
  <si>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</si>
  <si>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</si>
  <si>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</si>
  <si>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</si>
  <si>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</si>
  <si>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</si>
  <si>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</si>
  <si>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</si>
  <si>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</si>
  <si>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</si>
  <si>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</si>
  <si>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</si>
  <si>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</si>
  <si>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</si>
  <si>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</si>
  <si>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</si>
  <si>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</si>
  <si>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</si>
  <si>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</si>
  <si>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</si>
  <si>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</si>
  <si>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</si>
  <si>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</si>
  <si>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</si>
  <si>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</si>
  <si>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</si>
  <si>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</si>
  <si>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</si>
  <si>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</si>
  <si>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</si>
  <si>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</si>
  <si>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</si>
  <si>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</si>
  <si>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</si>
  <si>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</si>
  <si>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</si>
  <si>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</si>
  <si>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</si>
  <si>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</si>
  <si>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</si>
  <si>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</si>
  <si>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</si>
  <si>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</si>
  <si>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</si>
  <si>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</si>
  <si>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</si>
  <si>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</si>
  <si>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</si>
  <si>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</si>
  <si>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</si>
  <si>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</si>
  <si>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</si>
  <si>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</si>
  <si>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</si>
  <si>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</si>
  <si>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</si>
  <si>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</si>
  <si>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</si>
  <si>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</si>
  <si>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</si>
  <si>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</si>
  <si>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</si>
  <si>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</si>
  <si>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</si>
  <si>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</si>
  <si>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</si>
  <si>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</si>
  <si>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</si>
  <si>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</si>
  <si>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</si>
  <si>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</si>
  <si>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</si>
  <si>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</si>
  <si>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</si>
  <si>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</si>
  <si>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</si>
  <si>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</si>
  <si>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</si>
  <si>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</si>
  <si>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</si>
  <si>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</si>
  <si>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</si>
  <si>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</si>
  <si>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</si>
  <si>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</si>
  <si>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</si>
  <si>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</si>
  <si>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</si>
  <si>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</si>
  <si>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</si>
  <si>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</si>
  <si>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</si>
  <si>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</si>
  <si>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</si>
  <si>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</si>
  <si>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</si>
  <si>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</si>
  <si>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</si>
  <si>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</si>
  <si>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</si>
  <si>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</si>
  <si>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</si>
  <si>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</si>
  <si>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</si>
  <si>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</si>
  <si>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</si>
  <si>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</si>
  <si>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</si>
  <si>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</si>
  <si>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</si>
  <si>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</si>
  <si>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</si>
  <si>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</si>
  <si>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</si>
  <si>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</si>
  <si>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</si>
  <si>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</si>
  <si>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</si>
  <si>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</si>
  <si>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</si>
  <si>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</si>
  <si>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</si>
  <si>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</si>
  <si>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</si>
  <si>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</si>
  <si>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</si>
  <si>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</si>
  <si>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</si>
  <si>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</si>
  <si>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</si>
  <si>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</si>
  <si>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</si>
  <si>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</si>
  <si>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</si>
  <si>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</si>
  <si>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</si>
  <si>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</si>
  <si>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</si>
  <si>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</si>
  <si>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</si>
  <si>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</si>
  <si>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</si>
  <si>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</si>
  <si>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</si>
  <si>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</si>
  <si>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</si>
  <si>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</si>
  <si>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</si>
  <si>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</si>
  <si>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</si>
  <si>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</si>
  <si>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</si>
  <si>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</si>
  <si>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</si>
  <si>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</si>
  <si>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</si>
  <si>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</si>
  <si>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</si>
  <si>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</si>
  <si>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</si>
  <si>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</si>
  <si>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</si>
  <si>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</si>
  <si>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</si>
  <si>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</si>
  <si>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</si>
  <si>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</si>
  <si>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</si>
  <si>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</si>
  <si>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</si>
  <si>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</si>
  <si>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</si>
  <si>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</si>
  <si>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</si>
  <si>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</si>
  <si>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</si>
  <si>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</si>
  <si>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</si>
  <si>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</si>
  <si>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</si>
  <si>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</si>
  <si>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</si>
  <si>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</si>
  <si>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</si>
  <si>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</si>
  <si>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</si>
  <si>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</si>
  <si>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</si>
  <si>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</si>
  <si>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</si>
  <si>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</si>
  <si>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</si>
  <si>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</si>
  <si>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</si>
  <si>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</si>
  <si>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</si>
  <si>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</si>
  <si>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</si>
  <si>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</si>
  <si>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</si>
  <si>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</si>
  <si>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</si>
  <si>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</si>
  <si>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</si>
  <si>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</si>
  <si>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</si>
  <si>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</si>
  <si>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</si>
  <si>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</si>
  <si>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</si>
  <si>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</si>
  <si>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</si>
  <si>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</si>
  <si>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</si>
  <si>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</si>
  <si>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</si>
  <si>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</si>
  <si>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</si>
  <si>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</si>
  <si>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</si>
  <si>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</si>
  <si>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</si>
  <si>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</si>
  <si>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</si>
  <si>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</si>
  <si>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</si>
  <si>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</si>
  <si>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</si>
  <si>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</si>
  <si>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</si>
  <si>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</si>
  <si>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</si>
  <si>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</si>
  <si>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</si>
  <si>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</si>
  <si>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</si>
  <si>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</si>
  <si>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</si>
  <si>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</si>
  <si>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</si>
  <si>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</si>
  <si>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</si>
  <si>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</si>
  <si>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</si>
  <si>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</si>
  <si>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</si>
  <si>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</si>
  <si>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</si>
  <si>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</si>
  <si>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</si>
  <si>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</si>
  <si>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</si>
  <si>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</si>
  <si>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</si>
  <si>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</si>
  <si>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</si>
  <si>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</si>
  <si>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</si>
  <si>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</si>
  <si>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</si>
  <si>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</si>
  <si>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</si>
  <si>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</si>
  <si>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</si>
  <si>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</si>
  <si>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</si>
  <si>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</si>
  <si>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</si>
  <si>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</si>
  <si>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06/2002</t>
  </si>
  <si>
    <t>07/2017</t>
  </si>
  <si>
    <t>Milan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</si>
</sst>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0" fontId="3" fillId="0" borderId="0" xfId="0" quotePrefix="1" applyNumberFormat="1" applyFont="1" applyAlignment="1" applyProtection="1">
      <alignment horizontal="center"/>
      <protection locked="0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center"/>
    </xf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49" fontId="11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4E688-2A25-4C64-BB12-E7D3E9809931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I659" sqref="I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355</v>
      </c>
      <c r="C2" s="21">
        <v>355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604384.84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38063.03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17467.45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72186.740000000005</v>
      </c>
      <c r="G13" s="18">
        <v>684.48</v>
      </c>
      <c r="H13" s="18">
        <f>6241+15745.36+513.87+6895.63+1882.26</f>
        <v>31278.12</v>
      </c>
      <c r="I13" s="18"/>
      <c r="J13" s="67">
        <f>SUM(I434)</f>
        <v>319145.06000000006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3405.17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205247.5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937349.55999999994</v>
      </c>
      <c r="G19" s="41">
        <f>SUM(G9:G18)</f>
        <v>4089.65</v>
      </c>
      <c r="H19" s="41">
        <f>SUM(H9:H18)</f>
        <v>31278.12</v>
      </c>
      <c r="I19" s="41">
        <f>SUM(I9:I18)</f>
        <v>0</v>
      </c>
      <c r="J19" s="41">
        <f>SUM(J9:J18)</f>
        <v>319145.06000000006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3894.17</v>
      </c>
      <c r="H23" s="18">
        <f>31278.12-17704.84</f>
        <v>13573.279999999999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550971.49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f>533.98+10000+161+5000+2000+9.86</f>
        <v>17704.84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550971.49</v>
      </c>
      <c r="G33" s="41">
        <f>SUM(G23:G32)</f>
        <v>3894.17</v>
      </c>
      <c r="H33" s="41">
        <f>SUM(H23:H32)</f>
        <v>31278.12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15000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195.48</v>
      </c>
      <c r="H41" s="18"/>
      <c r="I41" s="18"/>
      <c r="J41" s="13">
        <f>SUM(I449)</f>
        <v>319145.06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371378.07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386378.07</v>
      </c>
      <c r="G43" s="41">
        <f>SUM(G35:G42)</f>
        <v>195.48</v>
      </c>
      <c r="H43" s="41">
        <f>SUM(H35:H42)</f>
        <v>0</v>
      </c>
      <c r="I43" s="41">
        <f>SUM(I35:I42)</f>
        <v>0</v>
      </c>
      <c r="J43" s="41">
        <f>SUM(J35:J42)</f>
        <v>319145.06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937349.56</v>
      </c>
      <c r="G44" s="41">
        <f>G43+G33</f>
        <v>4089.65</v>
      </c>
      <c r="H44" s="41">
        <f>H43+H33</f>
        <v>31278.12</v>
      </c>
      <c r="I44" s="41">
        <f>I43+I33</f>
        <v>0</v>
      </c>
      <c r="J44" s="41">
        <f>J43+J33</f>
        <v>319145.06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1021173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1021173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196900.4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196900.4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1575.5</v>
      </c>
      <c r="G88" s="18"/>
      <c r="H88" s="18"/>
      <c r="I88" s="18"/>
      <c r="J88" s="18">
        <v>734.16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22334.75+218</f>
        <v>22552.75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f>217</f>
        <v>217</v>
      </c>
      <c r="G94" s="18"/>
      <c r="H94" s="18">
        <v>4843.91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14.95</v>
      </c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f>11228.36</f>
        <v>11228.36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242.66</f>
        <v>242.66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13278.470000000001</v>
      </c>
      <c r="G103" s="41">
        <f>SUM(G88:G102)</f>
        <v>22552.75</v>
      </c>
      <c r="H103" s="41">
        <f>SUM(H88:H102)</f>
        <v>4843.91</v>
      </c>
      <c r="I103" s="41">
        <f>SUM(I88:I102)</f>
        <v>0</v>
      </c>
      <c r="J103" s="41">
        <f>SUM(J88:J102)</f>
        <v>734.16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1231351.8699999999</v>
      </c>
      <c r="G104" s="41">
        <f>G52+G103</f>
        <v>22552.75</v>
      </c>
      <c r="H104" s="41">
        <f>H52+H71+H86+H103</f>
        <v>4843.91</v>
      </c>
      <c r="I104" s="41">
        <f>I52+I103</f>
        <v>0</v>
      </c>
      <c r="J104" s="41">
        <f>J52+J103</f>
        <v>734.16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800922.36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278389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307288.64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1386600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70000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95642.13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337.61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165642.13</v>
      </c>
      <c r="G128" s="41">
        <f>SUM(G115:G127)</f>
        <v>337.61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1552242.13</v>
      </c>
      <c r="G132" s="41">
        <f>G113+SUM(G128:G129)</f>
        <v>337.61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42715.75+15640.26</f>
        <v>58356.01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57192.9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11110.83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48140.78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44515.69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4756.9399999999996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44515.69</v>
      </c>
      <c r="G154" s="41">
        <f>SUM(G142:G153)</f>
        <v>15867.77</v>
      </c>
      <c r="H154" s="41">
        <f>SUM(H142:H153)</f>
        <v>163689.69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f>5081.95+8956.56</f>
        <v>14038.509999999998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489.87</v>
      </c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59044.07</v>
      </c>
      <c r="G161" s="41">
        <f>G139+G154+SUM(G155:G160)</f>
        <v>15867.77</v>
      </c>
      <c r="H161" s="41">
        <f>H139+H154+SUM(H155:H160)</f>
        <v>163689.69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97000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97000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15653.13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15653.13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15653.13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97000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2858291.1999999997</v>
      </c>
      <c r="G185" s="47">
        <f>G104+G132+G161+G184</f>
        <v>38758.130000000005</v>
      </c>
      <c r="H185" s="47">
        <f>H104+H132+H161+H184</f>
        <v>168533.6</v>
      </c>
      <c r="I185" s="47">
        <f>I104+I132+I161+I184</f>
        <v>0</v>
      </c>
      <c r="J185" s="47">
        <f>J104+J132+J184</f>
        <v>97734.16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308383.53</f>
        <v>308383.53000000003</v>
      </c>
      <c r="G189" s="18">
        <v>112957.16</v>
      </c>
      <c r="H189" s="18">
        <f>2454.12</f>
        <v>2454.12</v>
      </c>
      <c r="I189" s="18">
        <v>20308.47</v>
      </c>
      <c r="J189" s="18">
        <v>20976</v>
      </c>
      <c r="K189" s="18">
        <v>436.5</v>
      </c>
      <c r="L189" s="19">
        <f>SUM(F189:K189)</f>
        <v>465515.78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64017.13</f>
        <v>64017.13</v>
      </c>
      <c r="G190" s="18">
        <f>22757.72</f>
        <v>22757.72</v>
      </c>
      <c r="H190" s="18">
        <f>1800+10.69+86.68</f>
        <v>1897.3700000000001</v>
      </c>
      <c r="I190" s="18">
        <v>696.74</v>
      </c>
      <c r="J190" s="18">
        <v>1313.68</v>
      </c>
      <c r="K190" s="18"/>
      <c r="L190" s="19">
        <f>SUM(F190:K190)</f>
        <v>90682.64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2289</v>
      </c>
      <c r="G192" s="18">
        <v>267.5</v>
      </c>
      <c r="H192" s="18">
        <f>20+235</f>
        <v>255</v>
      </c>
      <c r="I192" s="18"/>
      <c r="J192" s="18"/>
      <c r="K192" s="18"/>
      <c r="L192" s="19">
        <f>SUM(F192:K192)</f>
        <v>2811.5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16331.14+14218.87</f>
        <v>30550.010000000002</v>
      </c>
      <c r="G194" s="18">
        <f>1423.79+1246.11</f>
        <v>2669.8999999999996</v>
      </c>
      <c r="H194" s="18">
        <f>824.2+265+15268.62+22978.73+258+920.5+5927.68+17735</f>
        <v>64177.73</v>
      </c>
      <c r="I194" s="18">
        <f>1984.01+1241.73</f>
        <v>3225.74</v>
      </c>
      <c r="J194" s="18">
        <f>987.44</f>
        <v>987.44</v>
      </c>
      <c r="K194" s="18"/>
      <c r="L194" s="19">
        <f t="shared" ref="L194:L200" si="0">SUM(F194:K194)</f>
        <v>101610.82000000002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292.5+650+24709.95</f>
        <v>25652.45</v>
      </c>
      <c r="G195" s="18">
        <f>37.49+87.12+9674.02</f>
        <v>9798.630000000001</v>
      </c>
      <c r="H195" s="18">
        <f>1145.35+258+289+3765.9</f>
        <v>5458.25</v>
      </c>
      <c r="I195" s="18">
        <f>1026+2233.14</f>
        <v>3259.14</v>
      </c>
      <c r="J195" s="18">
        <f>8447+1279.86</f>
        <v>9726.86</v>
      </c>
      <c r="K195" s="18">
        <f>660</f>
        <v>660</v>
      </c>
      <c r="L195" s="19">
        <f t="shared" si="0"/>
        <v>54555.33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(500+2350)*0.5</f>
        <v>1425</v>
      </c>
      <c r="G196" s="18">
        <f>(38.25+187.35)*0.5</f>
        <v>112.8</v>
      </c>
      <c r="H196" s="18">
        <f>(782.5+1134+3525+1624.5+105446)*0.5</f>
        <v>56256</v>
      </c>
      <c r="I196" s="18">
        <f>959.75*0.5</f>
        <v>479.875</v>
      </c>
      <c r="J196" s="18"/>
      <c r="K196" s="18">
        <f>(3717.42+155)*0.5</f>
        <v>1936.21</v>
      </c>
      <c r="L196" s="19">
        <f t="shared" si="0"/>
        <v>60209.885000000002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87+86072.87</f>
        <v>86159.87</v>
      </c>
      <c r="G197" s="18">
        <f>6.66+29966.47</f>
        <v>29973.13</v>
      </c>
      <c r="H197" s="18">
        <f>190+2227.68+6616.02</f>
        <v>9033.7000000000007</v>
      </c>
      <c r="I197" s="18">
        <v>2929.7</v>
      </c>
      <c r="J197" s="18">
        <v>1298.5</v>
      </c>
      <c r="K197" s="18">
        <v>1059.94</v>
      </c>
      <c r="L197" s="19">
        <f t="shared" si="0"/>
        <v>130454.84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49655.16</v>
      </c>
      <c r="G199" s="18">
        <v>30032</v>
      </c>
      <c r="H199" s="18">
        <f>12544.92+10568.42+4370.73</f>
        <v>27484.07</v>
      </c>
      <c r="I199" s="18">
        <v>55506.43</v>
      </c>
      <c r="J199" s="18">
        <v>3564.76</v>
      </c>
      <c r="K199" s="18">
        <v>145</v>
      </c>
      <c r="L199" s="19">
        <f t="shared" si="0"/>
        <v>166387.42000000001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(2130.56+116704)*0.5+2785.54+1540</f>
        <v>63742.82</v>
      </c>
      <c r="I200" s="18">
        <f>11145.2*0.5+384.84</f>
        <v>5957.4400000000005</v>
      </c>
      <c r="J200" s="18"/>
      <c r="K200" s="18"/>
      <c r="L200" s="19">
        <f t="shared" si="0"/>
        <v>69700.259999999995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568132.15</v>
      </c>
      <c r="G203" s="41">
        <f t="shared" si="1"/>
        <v>208568.84</v>
      </c>
      <c r="H203" s="41">
        <f t="shared" si="1"/>
        <v>230759.06000000003</v>
      </c>
      <c r="I203" s="41">
        <f t="shared" si="1"/>
        <v>92363.535000000003</v>
      </c>
      <c r="J203" s="41">
        <f t="shared" si="1"/>
        <v>37867.24</v>
      </c>
      <c r="K203" s="41">
        <f t="shared" si="1"/>
        <v>4237.6499999999996</v>
      </c>
      <c r="L203" s="41">
        <f t="shared" si="1"/>
        <v>1141928.4750000001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f>335609.29</f>
        <v>335609.29</v>
      </c>
      <c r="I207" s="18"/>
      <c r="J207" s="18"/>
      <c r="K207" s="18"/>
      <c r="L207" s="19">
        <f>SUM(F207:K207)</f>
        <v>335609.29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>
        <f>105</f>
        <v>105</v>
      </c>
      <c r="H208" s="18">
        <f>17940.99+61.12</f>
        <v>18002.11</v>
      </c>
      <c r="I208" s="18"/>
      <c r="J208" s="18"/>
      <c r="K208" s="18"/>
      <c r="L208" s="19">
        <f>SUM(F208:K208)</f>
        <v>18107.11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>
        <f>2.22</f>
        <v>2.2200000000000002</v>
      </c>
      <c r="H210" s="18"/>
      <c r="I210" s="18"/>
      <c r="J210" s="18"/>
      <c r="K210" s="18"/>
      <c r="L210" s="19">
        <f>SUM(F210:K210)</f>
        <v>2.2200000000000002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>
        <f>6659.16</f>
        <v>6659.16</v>
      </c>
      <c r="I212" s="18"/>
      <c r="J212" s="18"/>
      <c r="K212" s="18"/>
      <c r="L212" s="19">
        <f t="shared" ref="L212:L218" si="2">SUM(F212:K212)</f>
        <v>6659.16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(500+2350)*0.154</f>
        <v>438.9</v>
      </c>
      <c r="G214" s="18">
        <f>(38.25+187.35)*0.154</f>
        <v>34.742399999999996</v>
      </c>
      <c r="H214" s="18">
        <f>(782.5+1134+3525+1624.5+105446)*0.154</f>
        <v>17326.847999999998</v>
      </c>
      <c r="I214" s="18">
        <f>959.75*0.154</f>
        <v>147.8015</v>
      </c>
      <c r="J214" s="18"/>
      <c r="K214" s="18">
        <f>(3717.42+155)*0.154</f>
        <v>596.35267999999996</v>
      </c>
      <c r="L214" s="19">
        <f t="shared" si="2"/>
        <v>18544.64458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(2130.56+116704)*0.154+2647.5</f>
        <v>20948.022239999998</v>
      </c>
      <c r="I218" s="18">
        <f>11145.2*0.154+376.43</f>
        <v>2092.7908000000002</v>
      </c>
      <c r="J218" s="18"/>
      <c r="K218" s="18"/>
      <c r="L218" s="19">
        <f t="shared" si="2"/>
        <v>23040.813039999997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438.9</v>
      </c>
      <c r="G221" s="41">
        <f>SUM(G207:G220)</f>
        <v>141.9624</v>
      </c>
      <c r="H221" s="41">
        <f>SUM(H207:H220)</f>
        <v>398545.43023999996</v>
      </c>
      <c r="I221" s="41">
        <f>SUM(I207:I220)</f>
        <v>2240.5923000000003</v>
      </c>
      <c r="J221" s="41">
        <f>SUM(J207:J220)</f>
        <v>0</v>
      </c>
      <c r="K221" s="41">
        <f t="shared" si="3"/>
        <v>596.35267999999996</v>
      </c>
      <c r="L221" s="41">
        <f t="shared" si="3"/>
        <v>401963.23761999991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647136.4</f>
        <v>647136.4</v>
      </c>
      <c r="I225" s="18"/>
      <c r="J225" s="18"/>
      <c r="K225" s="18"/>
      <c r="L225" s="19">
        <f>SUM(F225:K225)</f>
        <v>647136.4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26076.08</f>
        <v>26076.080000000002</v>
      </c>
      <c r="G226" s="18">
        <f>2050.07</f>
        <v>2050.0700000000002</v>
      </c>
      <c r="H226" s="18">
        <f>86958.31+65641.23</f>
        <v>152599.53999999998</v>
      </c>
      <c r="I226" s="18">
        <f>169.75</f>
        <v>169.75</v>
      </c>
      <c r="J226" s="18">
        <f>59.95</f>
        <v>59.95</v>
      </c>
      <c r="K226" s="18">
        <f>107.5</f>
        <v>107.5</v>
      </c>
      <c r="L226" s="19">
        <f>SUM(F226:K226)</f>
        <v>181062.88999999998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>
        <f>18672+9015.34</f>
        <v>27687.34</v>
      </c>
      <c r="I228" s="18"/>
      <c r="J228" s="18"/>
      <c r="K228" s="18"/>
      <c r="L228" s="19">
        <f>SUM(F228:K228)</f>
        <v>27687.34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f>8148.5+162.85</f>
        <v>8311.35</v>
      </c>
      <c r="I230" s="18"/>
      <c r="J230" s="18"/>
      <c r="K230" s="18"/>
      <c r="L230" s="19">
        <f t="shared" ref="L230:L236" si="4">SUM(F230:K230)</f>
        <v>8311.35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(500+2350)*0.346</f>
        <v>986.09999999999991</v>
      </c>
      <c r="G232" s="18">
        <f>(38.25+187.35)*0.346</f>
        <v>78.057599999999994</v>
      </c>
      <c r="H232" s="18">
        <f>(782.5+1134+3525+1624.5+105446)*0.346</f>
        <v>38929.151999999995</v>
      </c>
      <c r="I232" s="18">
        <f>959.75*0.346</f>
        <v>332.07349999999997</v>
      </c>
      <c r="J232" s="18"/>
      <c r="K232" s="18">
        <f>(3717.42+155)*0.346</f>
        <v>1339.8573199999998</v>
      </c>
      <c r="L232" s="19">
        <f t="shared" si="4"/>
        <v>41665.240419999995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(2130.56+116704)*0.346+6684.66</f>
        <v>47801.417759999997</v>
      </c>
      <c r="I236" s="18">
        <f>11145.2*0.346</f>
        <v>3856.2392</v>
      </c>
      <c r="J236" s="18"/>
      <c r="K236" s="18"/>
      <c r="L236" s="19">
        <f t="shared" si="4"/>
        <v>51657.656959999993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27062.18</v>
      </c>
      <c r="G239" s="41">
        <f t="shared" si="5"/>
        <v>2128.1276000000003</v>
      </c>
      <c r="H239" s="41">
        <f t="shared" si="5"/>
        <v>922465.19975999987</v>
      </c>
      <c r="I239" s="41">
        <f t="shared" si="5"/>
        <v>4358.0627000000004</v>
      </c>
      <c r="J239" s="41">
        <f t="shared" si="5"/>
        <v>59.95</v>
      </c>
      <c r="K239" s="41">
        <f t="shared" si="5"/>
        <v>1447.3573199999998</v>
      </c>
      <c r="L239" s="41">
        <f t="shared" si="5"/>
        <v>957520.87737999996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>
        <v>537</v>
      </c>
      <c r="J245" s="18"/>
      <c r="K245" s="18"/>
      <c r="L245" s="19">
        <f t="shared" si="6"/>
        <v>537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537</v>
      </c>
      <c r="J248" s="41">
        <f t="shared" si="7"/>
        <v>0</v>
      </c>
      <c r="K248" s="41">
        <f t="shared" si="7"/>
        <v>0</v>
      </c>
      <c r="L248" s="41">
        <f>SUM(F248:K248)</f>
        <v>537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595633.2300000001</v>
      </c>
      <c r="G249" s="41">
        <f t="shared" si="8"/>
        <v>210838.93</v>
      </c>
      <c r="H249" s="41">
        <f t="shared" si="8"/>
        <v>1551769.69</v>
      </c>
      <c r="I249" s="41">
        <f t="shared" si="8"/>
        <v>99499.19</v>
      </c>
      <c r="J249" s="41">
        <f t="shared" si="8"/>
        <v>37927.189999999995</v>
      </c>
      <c r="K249" s="41">
        <f t="shared" si="8"/>
        <v>6281.36</v>
      </c>
      <c r="L249" s="41">
        <f t="shared" si="8"/>
        <v>2501949.59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175000</v>
      </c>
      <c r="L252" s="19">
        <f>SUM(F252:K252)</f>
        <v>175000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64257.5</v>
      </c>
      <c r="L253" s="19">
        <f>SUM(F253:K253)</f>
        <v>64257.5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97000</v>
      </c>
      <c r="L258" s="19">
        <f t="shared" si="9"/>
        <v>97000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336257.5</v>
      </c>
      <c r="L262" s="41">
        <f t="shared" si="9"/>
        <v>336257.5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595633.2300000001</v>
      </c>
      <c r="G263" s="42">
        <f t="shared" si="11"/>
        <v>210838.93</v>
      </c>
      <c r="H263" s="42">
        <f t="shared" si="11"/>
        <v>1551769.69</v>
      </c>
      <c r="I263" s="42">
        <f t="shared" si="11"/>
        <v>99499.19</v>
      </c>
      <c r="J263" s="42">
        <f t="shared" si="11"/>
        <v>37927.189999999995</v>
      </c>
      <c r="K263" s="42">
        <f t="shared" si="11"/>
        <v>342538.86</v>
      </c>
      <c r="L263" s="42">
        <f t="shared" si="11"/>
        <v>2838207.09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10840.14+15745.36+15724.92+4004.11+240.9+11664.74</f>
        <v>58220.17</v>
      </c>
      <c r="G268" s="18">
        <f>11875.61+4275.08+500.8+3975.52</f>
        <v>20627.010000000002</v>
      </c>
      <c r="H268" s="18"/>
      <c r="I268" s="18"/>
      <c r="J268" s="18">
        <f>7138.6</f>
        <v>7138.6</v>
      </c>
      <c r="K268" s="18"/>
      <c r="L268" s="19">
        <f>SUM(F268:K268)</f>
        <v>85985.78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26115.78+14053.68+1032.41</f>
        <v>41201.870000000003</v>
      </c>
      <c r="G269" s="18">
        <f>1075.18+102.19</f>
        <v>1177.3700000000001</v>
      </c>
      <c r="H269" s="18"/>
      <c r="I269" s="18">
        <f>229.94+1094.11</f>
        <v>1324.05</v>
      </c>
      <c r="J269" s="18"/>
      <c r="K269" s="18"/>
      <c r="L269" s="19">
        <f>SUM(F269:K269)</f>
        <v>43703.290000000008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1395.06+489.87</f>
        <v>1884.9299999999998</v>
      </c>
      <c r="I273" s="18"/>
      <c r="J273" s="18"/>
      <c r="K273" s="18"/>
      <c r="L273" s="19">
        <f t="shared" ref="L273:L279" si="12">SUM(F273:K273)</f>
        <v>1884.9299999999998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500</f>
        <v>500</v>
      </c>
      <c r="G274" s="18">
        <f>75.7</f>
        <v>75.7</v>
      </c>
      <c r="H274" s="18">
        <f>2500</f>
        <v>2500</v>
      </c>
      <c r="I274" s="18">
        <v>98.1</v>
      </c>
      <c r="J274" s="18">
        <f>834.1</f>
        <v>834.1</v>
      </c>
      <c r="K274" s="18"/>
      <c r="L274" s="19">
        <f t="shared" si="12"/>
        <v>4007.8999999999996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2630.8</v>
      </c>
      <c r="L277" s="19">
        <f t="shared" si="12"/>
        <v>2630.8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99922.040000000008</v>
      </c>
      <c r="G282" s="42">
        <f t="shared" si="13"/>
        <v>21880.080000000002</v>
      </c>
      <c r="H282" s="42">
        <f t="shared" si="13"/>
        <v>4384.93</v>
      </c>
      <c r="I282" s="42">
        <f t="shared" si="13"/>
        <v>1422.1499999999999</v>
      </c>
      <c r="J282" s="42">
        <f t="shared" si="13"/>
        <v>7972.7000000000007</v>
      </c>
      <c r="K282" s="42">
        <f t="shared" si="13"/>
        <v>2630.8</v>
      </c>
      <c r="L282" s="41">
        <f t="shared" si="13"/>
        <v>138212.69999999998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f>325</f>
        <v>325</v>
      </c>
      <c r="I311" s="18"/>
      <c r="J311" s="18"/>
      <c r="K311" s="18"/>
      <c r="L311" s="19">
        <f t="shared" ref="L311:L317" si="16">SUM(F311:K311)</f>
        <v>325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>
        <v>7.07</v>
      </c>
      <c r="L315" s="19">
        <f t="shared" si="16"/>
        <v>7.07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325</v>
      </c>
      <c r="I320" s="42">
        <f t="shared" si="17"/>
        <v>0</v>
      </c>
      <c r="J320" s="42">
        <f t="shared" si="17"/>
        <v>0</v>
      </c>
      <c r="K320" s="42">
        <f t="shared" si="17"/>
        <v>7.07</v>
      </c>
      <c r="L320" s="41">
        <f t="shared" si="17"/>
        <v>332.07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99922.040000000008</v>
      </c>
      <c r="G330" s="41">
        <f t="shared" si="20"/>
        <v>21880.080000000002</v>
      </c>
      <c r="H330" s="41">
        <f t="shared" si="20"/>
        <v>4709.93</v>
      </c>
      <c r="I330" s="41">
        <f t="shared" si="20"/>
        <v>1422.1499999999999</v>
      </c>
      <c r="J330" s="41">
        <f t="shared" si="20"/>
        <v>7972.7000000000007</v>
      </c>
      <c r="K330" s="41">
        <f t="shared" si="20"/>
        <v>2637.8700000000003</v>
      </c>
      <c r="L330" s="41">
        <f t="shared" si="20"/>
        <v>138544.76999999999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29988.83</v>
      </c>
      <c r="L342" s="19">
        <f t="shared" si="21"/>
        <v>29988.83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29988.83</v>
      </c>
      <c r="L343" s="41">
        <f>SUM(L333:L342)</f>
        <v>29988.83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99922.040000000008</v>
      </c>
      <c r="G344" s="41">
        <f>G330</f>
        <v>21880.080000000002</v>
      </c>
      <c r="H344" s="41">
        <f>H330</f>
        <v>4709.93</v>
      </c>
      <c r="I344" s="41">
        <f>I330</f>
        <v>1422.1499999999999</v>
      </c>
      <c r="J344" s="41">
        <f>J330</f>
        <v>7972.7000000000007</v>
      </c>
      <c r="K344" s="47">
        <f>K330+K343</f>
        <v>32626.7</v>
      </c>
      <c r="L344" s="41">
        <f>L330+L343</f>
        <v>168533.59999999998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33897.480000000003</v>
      </c>
      <c r="I350" s="18">
        <v>4756.9399999999996</v>
      </c>
      <c r="J350" s="18"/>
      <c r="K350" s="18"/>
      <c r="L350" s="13">
        <f>SUM(F350:K350)</f>
        <v>38654.420000000006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33897.480000000003</v>
      </c>
      <c r="I354" s="47">
        <f t="shared" si="22"/>
        <v>4756.9399999999996</v>
      </c>
      <c r="J354" s="47">
        <f t="shared" si="22"/>
        <v>0</v>
      </c>
      <c r="K354" s="47">
        <f t="shared" si="22"/>
        <v>0</v>
      </c>
      <c r="L354" s="47">
        <f t="shared" si="22"/>
        <v>38654.420000000006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4756.9399999999996</v>
      </c>
      <c r="G359" s="18"/>
      <c r="H359" s="18"/>
      <c r="I359" s="56">
        <f>SUM(F359:H359)</f>
        <v>4756.9399999999996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4756.9399999999996</v>
      </c>
      <c r="G361" s="47">
        <f>SUM(G359:G360)</f>
        <v>0</v>
      </c>
      <c r="H361" s="47">
        <f>SUM(H359:H360)</f>
        <v>0</v>
      </c>
      <c r="I361" s="47">
        <f>SUM(I359:I360)</f>
        <v>4756.9399999999996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75000</v>
      </c>
      <c r="H381" s="18">
        <v>218.5</v>
      </c>
      <c r="I381" s="18"/>
      <c r="J381" s="24" t="s">
        <v>312</v>
      </c>
      <c r="K381" s="24" t="s">
        <v>312</v>
      </c>
      <c r="L381" s="56">
        <f t="shared" si="25"/>
        <v>75218.5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81.89</v>
      </c>
      <c r="I384" s="18"/>
      <c r="J384" s="24" t="s">
        <v>312</v>
      </c>
      <c r="K384" s="24" t="s">
        <v>312</v>
      </c>
      <c r="L384" s="56">
        <f t="shared" si="25"/>
        <v>81.89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75000</v>
      </c>
      <c r="H385" s="139">
        <f>SUM(H379:H384)</f>
        <v>300.39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75300.39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7000</v>
      </c>
      <c r="H390" s="18">
        <v>388.11</v>
      </c>
      <c r="I390" s="18"/>
      <c r="J390" s="24" t="s">
        <v>312</v>
      </c>
      <c r="K390" s="24" t="s">
        <v>312</v>
      </c>
      <c r="L390" s="56">
        <f t="shared" si="26"/>
        <v>7388.11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10000</v>
      </c>
      <c r="H391" s="18">
        <v>37.51</v>
      </c>
      <c r="I391" s="18"/>
      <c r="J391" s="24" t="s">
        <v>312</v>
      </c>
      <c r="K391" s="24" t="s">
        <v>312</v>
      </c>
      <c r="L391" s="56">
        <f t="shared" si="26"/>
        <v>10037.51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5000</v>
      </c>
      <c r="H392" s="18">
        <f>2.37+5.78</f>
        <v>8.15</v>
      </c>
      <c r="I392" s="18"/>
      <c r="J392" s="24" t="s">
        <v>312</v>
      </c>
      <c r="K392" s="24" t="s">
        <v>312</v>
      </c>
      <c r="L392" s="56">
        <f t="shared" si="26"/>
        <v>5008.1499999999996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22000</v>
      </c>
      <c r="H393" s="47">
        <f>SUM(H387:H392)</f>
        <v>433.77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22433.769999999997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97000</v>
      </c>
      <c r="H400" s="47">
        <f>H385+H393+H399</f>
        <v>734.16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97734.16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>
        <v>15653.13</v>
      </c>
      <c r="L417" s="56">
        <f t="shared" si="29"/>
        <v>15653.13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15653.13</v>
      </c>
      <c r="L419" s="47">
        <f t="shared" si="30"/>
        <v>15653.13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15653.13</v>
      </c>
      <c r="L426" s="47">
        <f t="shared" si="32"/>
        <v>15653.13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f>125773.83+31215.3</f>
        <v>156989.13</v>
      </c>
      <c r="G434" s="18">
        <f>151988.94+751.92+4409.29+5005.78</f>
        <v>162155.93000000002</v>
      </c>
      <c r="H434" s="18"/>
      <c r="I434" s="56">
        <f t="shared" si="33"/>
        <v>319145.06000000006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156989.13</v>
      </c>
      <c r="G438" s="13">
        <f>SUM(G431:G437)</f>
        <v>162155.93000000002</v>
      </c>
      <c r="H438" s="13">
        <f>SUM(H431:H437)</f>
        <v>0</v>
      </c>
      <c r="I438" s="13">
        <f>SUM(I431:I437)</f>
        <v>319145.06000000006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156989.13</v>
      </c>
      <c r="G449" s="18">
        <f>162155.93</f>
        <v>162155.93</v>
      </c>
      <c r="H449" s="18"/>
      <c r="I449" s="56">
        <f>SUM(F449:H449)</f>
        <v>319145.06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156989.13</v>
      </c>
      <c r="G450" s="83">
        <f>SUM(G446:G449)</f>
        <v>162155.93</v>
      </c>
      <c r="H450" s="83">
        <f>SUM(H446:H449)</f>
        <v>0</v>
      </c>
      <c r="I450" s="83">
        <f>SUM(I446:I449)</f>
        <v>319145.06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156989.13</v>
      </c>
      <c r="G451" s="42">
        <f>G444+G450</f>
        <v>162155.93</v>
      </c>
      <c r="H451" s="42">
        <f>H444+H450</f>
        <v>0</v>
      </c>
      <c r="I451" s="42">
        <f>I444+I450</f>
        <v>319145.06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366293.96</v>
      </c>
      <c r="G455" s="18">
        <v>91.77</v>
      </c>
      <c r="H455" s="18">
        <v>0</v>
      </c>
      <c r="I455" s="18"/>
      <c r="J455" s="18">
        <v>237064.03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2858291.2000000002</v>
      </c>
      <c r="G458" s="18">
        <v>38758.129999999997</v>
      </c>
      <c r="H458" s="18">
        <v>168533.6</v>
      </c>
      <c r="I458" s="18"/>
      <c r="J458" s="18">
        <v>97734.16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2858291.2000000002</v>
      </c>
      <c r="G460" s="53">
        <f>SUM(G458:G459)</f>
        <v>38758.129999999997</v>
      </c>
      <c r="H460" s="53">
        <f>SUM(H458:H459)</f>
        <v>168533.6</v>
      </c>
      <c r="I460" s="53">
        <f>SUM(I458:I459)</f>
        <v>0</v>
      </c>
      <c r="J460" s="53">
        <f>SUM(J458:J459)</f>
        <v>97734.16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2838207.09</v>
      </c>
      <c r="G462" s="18">
        <v>38654.42</v>
      </c>
      <c r="H462" s="18">
        <v>168533.6</v>
      </c>
      <c r="I462" s="18"/>
      <c r="J462" s="18">
        <v>15653.13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2838207.09</v>
      </c>
      <c r="G464" s="53">
        <f>SUM(G462:G463)</f>
        <v>38654.42</v>
      </c>
      <c r="H464" s="53">
        <f>SUM(H462:H463)</f>
        <v>168533.6</v>
      </c>
      <c r="I464" s="53">
        <f>SUM(I462:I463)</f>
        <v>0</v>
      </c>
      <c r="J464" s="53">
        <f>SUM(J462:J463)</f>
        <v>15653.13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386378.0700000003</v>
      </c>
      <c r="G466" s="53">
        <f>(G455+G460)- G464</f>
        <v>195.47999999999593</v>
      </c>
      <c r="H466" s="53">
        <f>(H455+H460)- H464</f>
        <v>0</v>
      </c>
      <c r="I466" s="53">
        <f>(I455+I460)- I464</f>
        <v>0</v>
      </c>
      <c r="J466" s="53">
        <f>(J455+J460)- J464</f>
        <v>319145.06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271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2600000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4.38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1550000</v>
      </c>
      <c r="G485" s="18"/>
      <c r="H485" s="18"/>
      <c r="I485" s="18"/>
      <c r="J485" s="18"/>
      <c r="K485" s="53">
        <f>SUM(F485:J485)</f>
        <v>1550000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175000</v>
      </c>
      <c r="G487" s="18"/>
      <c r="H487" s="18"/>
      <c r="I487" s="18"/>
      <c r="J487" s="18"/>
      <c r="K487" s="53">
        <f t="shared" si="34"/>
        <v>175000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1375000</v>
      </c>
      <c r="G488" s="205"/>
      <c r="H488" s="205"/>
      <c r="I488" s="205"/>
      <c r="J488" s="205"/>
      <c r="K488" s="206">
        <f t="shared" si="34"/>
        <v>1375000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305795-64257.5</f>
        <v>241537.5</v>
      </c>
      <c r="G489" s="18"/>
      <c r="H489" s="18"/>
      <c r="I489" s="18"/>
      <c r="J489" s="18"/>
      <c r="K489" s="53">
        <f t="shared" si="34"/>
        <v>241537.5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1616537.5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1616537.5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175000</v>
      </c>
      <c r="G491" s="205"/>
      <c r="H491" s="205"/>
      <c r="I491" s="205"/>
      <c r="J491" s="205"/>
      <c r="K491" s="206">
        <f t="shared" si="34"/>
        <v>175000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56732.5</v>
      </c>
      <c r="G492" s="18"/>
      <c r="H492" s="18"/>
      <c r="I492" s="18"/>
      <c r="J492" s="18"/>
      <c r="K492" s="53">
        <f t="shared" si="34"/>
        <v>56732.5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231732.5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231732.5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45802</v>
      </c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>
        <v>33000</v>
      </c>
      <c r="G501" s="24" t="s">
        <v>312</v>
      </c>
      <c r="H501" s="18">
        <v>33000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3905492</v>
      </c>
      <c r="G503" s="24" t="s">
        <v>312</v>
      </c>
      <c r="H503" s="18">
        <v>3905492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v>57995</v>
      </c>
      <c r="G504" s="24" t="s">
        <v>312</v>
      </c>
      <c r="H504" s="18">
        <v>71085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>
        <v>0</v>
      </c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3996487</v>
      </c>
      <c r="G507" s="42">
        <f>SUM(G501:G506)</f>
        <v>0</v>
      </c>
      <c r="H507" s="42">
        <f>SUM(H501:H506)</f>
        <v>4009577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90093.21-26076.08+2289+26115.78+14053.68+1032.41</f>
        <v>107508</v>
      </c>
      <c r="G511" s="18">
        <f>24807.79-2155.07+269.72-2.22+1075.18+102.19</f>
        <v>24097.59</v>
      </c>
      <c r="H511" s="18">
        <f>1800+10.69+86.68+20+155</f>
        <v>2072.37</v>
      </c>
      <c r="I511" s="18">
        <f>866.49-169.75+229.94+1094.11</f>
        <v>2020.79</v>
      </c>
      <c r="J511" s="18">
        <f>1373.63-59.95</f>
        <v>1313.68</v>
      </c>
      <c r="K511" s="18"/>
      <c r="L511" s="88">
        <f>SUM(F511:K511)</f>
        <v>137012.43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>
        <f>105+2.22</f>
        <v>107.22</v>
      </c>
      <c r="H512" s="18">
        <f>17940.99+61.12</f>
        <v>18002.11</v>
      </c>
      <c r="I512" s="18"/>
      <c r="J512" s="18"/>
      <c r="K512" s="18"/>
      <c r="L512" s="88">
        <f>SUM(F512:K512)</f>
        <v>18109.330000000002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26076.08</f>
        <v>26076.080000000002</v>
      </c>
      <c r="G513" s="18">
        <f>1994.82+55.25</f>
        <v>2050.0699999999997</v>
      </c>
      <c r="H513" s="18">
        <f>86958.31+111.78+31153.47+34297.26+78.72+18672+400+7487.43+1127.91</f>
        <v>180286.88</v>
      </c>
      <c r="I513" s="18">
        <f>169.75</f>
        <v>169.75</v>
      </c>
      <c r="J513" s="18">
        <f>59.95</f>
        <v>59.95</v>
      </c>
      <c r="K513" s="18">
        <f>107.5</f>
        <v>107.5</v>
      </c>
      <c r="L513" s="88">
        <f>SUM(F513:K513)</f>
        <v>208750.23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133584.08000000002</v>
      </c>
      <c r="G514" s="108">
        <f t="shared" ref="G514:L514" si="35">SUM(G511:G513)</f>
        <v>26254.880000000001</v>
      </c>
      <c r="H514" s="108">
        <f t="shared" si="35"/>
        <v>200361.36000000002</v>
      </c>
      <c r="I514" s="108">
        <f t="shared" si="35"/>
        <v>2190.54</v>
      </c>
      <c r="J514" s="108">
        <f t="shared" si="35"/>
        <v>1373.63</v>
      </c>
      <c r="K514" s="108">
        <f t="shared" si="35"/>
        <v>107.5</v>
      </c>
      <c r="L514" s="89">
        <f t="shared" si="35"/>
        <v>363871.99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920.5+15268.62+28906.41+258+17735+1395.06+489.87</f>
        <v>64973.46</v>
      </c>
      <c r="I516" s="18"/>
      <c r="J516" s="18"/>
      <c r="K516" s="18"/>
      <c r="L516" s="88">
        <f>SUM(F516:K516)</f>
        <v>64973.46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f>6659.16</f>
        <v>6659.16</v>
      </c>
      <c r="I517" s="18"/>
      <c r="J517" s="18"/>
      <c r="K517" s="18"/>
      <c r="L517" s="88">
        <f>SUM(F517:K517)</f>
        <v>6659.16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f>8148.5+162.85+325</f>
        <v>8636.35</v>
      </c>
      <c r="I518" s="18"/>
      <c r="J518" s="18"/>
      <c r="K518" s="18"/>
      <c r="L518" s="88">
        <f>SUM(F518:K518)</f>
        <v>8636.35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80268.97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80268.97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212.5</f>
        <v>212.5</v>
      </c>
      <c r="G521" s="18">
        <f>31.37</f>
        <v>31.37</v>
      </c>
      <c r="H521" s="18">
        <v>7667.66</v>
      </c>
      <c r="I521" s="18"/>
      <c r="J521" s="18"/>
      <c r="K521" s="18">
        <f>718.5+109.84</f>
        <v>828.34</v>
      </c>
      <c r="L521" s="88">
        <f>SUM(F521:K521)</f>
        <v>8739.869999999999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5642.89</v>
      </c>
      <c r="I522" s="18"/>
      <c r="J522" s="18"/>
      <c r="K522" s="18"/>
      <c r="L522" s="88">
        <f>SUM(F522:K522)</f>
        <v>5642.89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10005.52</v>
      </c>
      <c r="I523" s="18"/>
      <c r="J523" s="18"/>
      <c r="K523" s="18"/>
      <c r="L523" s="88">
        <f>SUM(F523:K523)</f>
        <v>10005.52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212.5</v>
      </c>
      <c r="G524" s="89">
        <f t="shared" ref="G524:L524" si="37">SUM(G521:G523)</f>
        <v>31.37</v>
      </c>
      <c r="H524" s="89">
        <f t="shared" si="37"/>
        <v>23316.07</v>
      </c>
      <c r="I524" s="89">
        <f t="shared" si="37"/>
        <v>0</v>
      </c>
      <c r="J524" s="89">
        <f t="shared" si="37"/>
        <v>0</v>
      </c>
      <c r="K524" s="89">
        <f t="shared" si="37"/>
        <v>828.34</v>
      </c>
      <c r="L524" s="89">
        <f t="shared" si="37"/>
        <v>24388.28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2785.54</f>
        <v>2785.54</v>
      </c>
      <c r="I531" s="18">
        <f>384.84</f>
        <v>384.84</v>
      </c>
      <c r="J531" s="18"/>
      <c r="K531" s="18"/>
      <c r="L531" s="88">
        <f>SUM(F531:K531)</f>
        <v>3170.38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2647.5</f>
        <v>2647.5</v>
      </c>
      <c r="I532" s="18">
        <f>376.43</f>
        <v>376.43</v>
      </c>
      <c r="J532" s="18"/>
      <c r="K532" s="18"/>
      <c r="L532" s="88">
        <f>SUM(F532:K532)</f>
        <v>3023.93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6684.66</f>
        <v>6684.66</v>
      </c>
      <c r="I533" s="18"/>
      <c r="J533" s="18"/>
      <c r="K533" s="18"/>
      <c r="L533" s="88">
        <f>SUM(F533:K533)</f>
        <v>6684.66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12117.7</v>
      </c>
      <c r="I534" s="194">
        <f t="shared" si="39"/>
        <v>761.27</v>
      </c>
      <c r="J534" s="194">
        <f t="shared" si="39"/>
        <v>0</v>
      </c>
      <c r="K534" s="194">
        <f t="shared" si="39"/>
        <v>0</v>
      </c>
      <c r="L534" s="194">
        <f t="shared" si="39"/>
        <v>12878.97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133796.58000000002</v>
      </c>
      <c r="G535" s="89">
        <f t="shared" ref="G535:L535" si="40">G514+G519+G524+G529+G534</f>
        <v>26286.25</v>
      </c>
      <c r="H535" s="89">
        <f t="shared" si="40"/>
        <v>316064.10000000003</v>
      </c>
      <c r="I535" s="89">
        <f t="shared" si="40"/>
        <v>2951.81</v>
      </c>
      <c r="J535" s="89">
        <f t="shared" si="40"/>
        <v>1373.63</v>
      </c>
      <c r="K535" s="89">
        <f t="shared" si="40"/>
        <v>935.84</v>
      </c>
      <c r="L535" s="89">
        <f t="shared" si="40"/>
        <v>481408.20999999996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137012.43</v>
      </c>
      <c r="G539" s="87">
        <f>L516</f>
        <v>64973.46</v>
      </c>
      <c r="H539" s="87">
        <f>L521</f>
        <v>8739.869999999999</v>
      </c>
      <c r="I539" s="87">
        <f>L526</f>
        <v>0</v>
      </c>
      <c r="J539" s="87">
        <f>L531</f>
        <v>3170.38</v>
      </c>
      <c r="K539" s="87">
        <f>SUM(F539:J539)</f>
        <v>213896.13999999998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18109.330000000002</v>
      </c>
      <c r="G540" s="87">
        <f>L517</f>
        <v>6659.16</v>
      </c>
      <c r="H540" s="87">
        <f>L522</f>
        <v>5642.89</v>
      </c>
      <c r="I540" s="87">
        <f>L527</f>
        <v>0</v>
      </c>
      <c r="J540" s="87">
        <f>L532</f>
        <v>3023.93</v>
      </c>
      <c r="K540" s="87">
        <f>SUM(F540:J540)</f>
        <v>33435.31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208750.23</v>
      </c>
      <c r="G541" s="87">
        <f>L518</f>
        <v>8636.35</v>
      </c>
      <c r="H541" s="87">
        <f>L523</f>
        <v>10005.52</v>
      </c>
      <c r="I541" s="87">
        <f>L528</f>
        <v>0</v>
      </c>
      <c r="J541" s="87">
        <f>L533</f>
        <v>6684.66</v>
      </c>
      <c r="K541" s="87">
        <f>SUM(F541:J541)</f>
        <v>234076.76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363871.99</v>
      </c>
      <c r="G542" s="89">
        <f t="shared" si="41"/>
        <v>80268.97</v>
      </c>
      <c r="H542" s="89">
        <f t="shared" si="41"/>
        <v>24388.28</v>
      </c>
      <c r="I542" s="89">
        <f t="shared" si="41"/>
        <v>0</v>
      </c>
      <c r="J542" s="89">
        <f t="shared" si="41"/>
        <v>12878.97</v>
      </c>
      <c r="K542" s="89">
        <f t="shared" si="41"/>
        <v>481408.20999999996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335609.29</v>
      </c>
      <c r="H565" s="18">
        <v>647136.4</v>
      </c>
      <c r="I565" s="87">
        <f>SUM(F565:H565)</f>
        <v>982745.69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>
        <f>17940.99+61.12</f>
        <v>18002.11</v>
      </c>
      <c r="H572" s="18">
        <f>86958.31+111.78+31153.47+34297.26+78.72+18672+400+7487.43+1127.91</f>
        <v>180286.88</v>
      </c>
      <c r="I572" s="87">
        <f t="shared" si="46"/>
        <v>198288.99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(2130.56+116704+11145.2)*0.5</f>
        <v>64989.88</v>
      </c>
      <c r="I581" s="18">
        <f>(2130.56+116704+11145.2)*0.154</f>
        <v>20016.883040000001</v>
      </c>
      <c r="J581" s="18">
        <f>(2130.56+116704+11145.2)*0.346</f>
        <v>44972.996959999997</v>
      </c>
      <c r="K581" s="104">
        <f t="shared" ref="K581:K587" si="47">SUM(H581:J581)</f>
        <v>129979.75999999998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2785.54+384.84</f>
        <v>3170.38</v>
      </c>
      <c r="I582" s="18">
        <f>2647.5+376.43</f>
        <v>3023.93</v>
      </c>
      <c r="J582" s="18">
        <f>6684.66</f>
        <v>6684.66</v>
      </c>
      <c r="K582" s="104">
        <f t="shared" si="47"/>
        <v>12878.97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1540</v>
      </c>
      <c r="I585" s="18"/>
      <c r="J585" s="18"/>
      <c r="K585" s="104">
        <f t="shared" si="47"/>
        <v>1540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69700.259999999995</v>
      </c>
      <c r="I588" s="108">
        <f>SUM(I581:I587)</f>
        <v>23040.813040000001</v>
      </c>
      <c r="J588" s="108">
        <f>SUM(J581:J587)</f>
        <v>51657.656959999993</v>
      </c>
      <c r="K588" s="108">
        <f>SUM(K581:K587)</f>
        <v>144398.72999999998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45899.89-59.95</f>
        <v>45839.94</v>
      </c>
      <c r="I594" s="18"/>
      <c r="J594" s="18">
        <v>59.95</v>
      </c>
      <c r="K594" s="104">
        <f>SUM(H594:J594)</f>
        <v>45899.89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45839.94</v>
      </c>
      <c r="I595" s="108">
        <f>SUM(I592:I594)</f>
        <v>0</v>
      </c>
      <c r="J595" s="108">
        <f>SUM(J592:J594)</f>
        <v>59.95</v>
      </c>
      <c r="K595" s="108">
        <f>SUM(K592:K594)</f>
        <v>45899.89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2289</v>
      </c>
      <c r="G601" s="18">
        <f>269.72</f>
        <v>269.72000000000003</v>
      </c>
      <c r="H601" s="18">
        <v>20</v>
      </c>
      <c r="I601" s="18"/>
      <c r="J601" s="18"/>
      <c r="K601" s="18"/>
      <c r="L601" s="88">
        <f>SUM(F601:K601)</f>
        <v>2578.7200000000003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>
        <f>18672+400+1127.91</f>
        <v>20199.91</v>
      </c>
      <c r="I603" s="18"/>
      <c r="J603" s="18"/>
      <c r="K603" s="18"/>
      <c r="L603" s="88">
        <f>SUM(F603:K603)</f>
        <v>20199.91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2289</v>
      </c>
      <c r="G604" s="108">
        <f t="shared" si="48"/>
        <v>269.72000000000003</v>
      </c>
      <c r="H604" s="108">
        <f t="shared" si="48"/>
        <v>20219.91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22778.63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937349.55999999994</v>
      </c>
      <c r="H607" s="109">
        <f>SUM(F44)</f>
        <v>937349.56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4089.65</v>
      </c>
      <c r="H608" s="109">
        <f>SUM(G44)</f>
        <v>4089.65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31278.12</v>
      </c>
      <c r="H609" s="109">
        <f>SUM(H44)</f>
        <v>31278.12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319145.06000000006</v>
      </c>
      <c r="H611" s="109">
        <f>SUM(J44)</f>
        <v>319145.06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386378.07</v>
      </c>
      <c r="H612" s="109">
        <f>F466</f>
        <v>386378.0700000003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195.48</v>
      </c>
      <c r="H613" s="109">
        <f>G466</f>
        <v>195.47999999999593</v>
      </c>
      <c r="I613" s="121" t="s">
        <v>108</v>
      </c>
      <c r="J613" s="109">
        <f t="shared" si="49"/>
        <v>4.0643044485477731E-12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319145.06</v>
      </c>
      <c r="H616" s="109">
        <f>J466</f>
        <v>319145.06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2858291.1999999997</v>
      </c>
      <c r="H617" s="104">
        <f>SUM(F458)</f>
        <v>2858291.2000000002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38758.130000000005</v>
      </c>
      <c r="H618" s="104">
        <f>SUM(G458)</f>
        <v>38758.129999999997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168533.6</v>
      </c>
      <c r="H619" s="104">
        <f>SUM(H458)</f>
        <v>168533.6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97734.16</v>
      </c>
      <c r="H621" s="104">
        <f>SUM(J458)</f>
        <v>97734.16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2838207.09</v>
      </c>
      <c r="H622" s="104">
        <f>SUM(F462)</f>
        <v>2838207.09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168533.59999999998</v>
      </c>
      <c r="H623" s="104">
        <f>SUM(H462)</f>
        <v>168533.6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4756.9399999999996</v>
      </c>
      <c r="H624" s="104">
        <f>I361</f>
        <v>4756.9399999999996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38654.420000000006</v>
      </c>
      <c r="H625" s="104">
        <f>SUM(G462)</f>
        <v>38654.42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97734.16</v>
      </c>
      <c r="H627" s="164">
        <f>SUM(J458)</f>
        <v>97734.16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15653.13</v>
      </c>
      <c r="H628" s="164">
        <f>SUM(J462)</f>
        <v>15653.13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156989.13</v>
      </c>
      <c r="H629" s="104">
        <f>SUM(F451)</f>
        <v>156989.13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162155.93000000002</v>
      </c>
      <c r="H630" s="104">
        <f>SUM(G451)</f>
        <v>162155.93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319145.06000000006</v>
      </c>
      <c r="H632" s="104">
        <f>SUM(I451)</f>
        <v>319145.06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734.16</v>
      </c>
      <c r="H634" s="104">
        <f>H400</f>
        <v>734.16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97000</v>
      </c>
      <c r="H635" s="104">
        <f>G400</f>
        <v>97000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97734.16</v>
      </c>
      <c r="H636" s="104">
        <f>L400</f>
        <v>97734.16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144398.72999999998</v>
      </c>
      <c r="H637" s="104">
        <f>L200+L218+L236</f>
        <v>144398.72999999998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45899.89</v>
      </c>
      <c r="H638" s="104">
        <f>(J249+J330)-(J247+J328)</f>
        <v>45899.89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69700.259999999995</v>
      </c>
      <c r="H639" s="104">
        <f>H588</f>
        <v>69700.259999999995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23040.813039999997</v>
      </c>
      <c r="H640" s="104">
        <f>I588</f>
        <v>23040.813040000001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51657.656959999993</v>
      </c>
      <c r="H641" s="104">
        <f>J588</f>
        <v>51657.656959999993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97000</v>
      </c>
      <c r="H645" s="104">
        <f>K258+K339</f>
        <v>97000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1318795.595</v>
      </c>
      <c r="G650" s="19">
        <f>(L221+L301+L351)</f>
        <v>401963.23761999991</v>
      </c>
      <c r="H650" s="19">
        <f>(L239+L320+L352)</f>
        <v>957852.94737999991</v>
      </c>
      <c r="I650" s="19">
        <f>SUM(F650:H650)</f>
        <v>2678611.7799999998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22552.75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22552.75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69700.259999999995</v>
      </c>
      <c r="G652" s="19">
        <f>(L218+L298)-(J218+J298)</f>
        <v>23040.813039999997</v>
      </c>
      <c r="H652" s="19">
        <f>(L236+L317)-(J236+J317)</f>
        <v>51657.656959999993</v>
      </c>
      <c r="I652" s="19">
        <f>SUM(F652:H652)</f>
        <v>144398.72999999998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48418.66</v>
      </c>
      <c r="G653" s="200">
        <f>SUM(G565:G577)+SUM(I592:I594)+L602</f>
        <v>353611.39999999997</v>
      </c>
      <c r="H653" s="200">
        <f>SUM(H565:H577)+SUM(J592:J594)+L603</f>
        <v>847683.14</v>
      </c>
      <c r="I653" s="19">
        <f>SUM(F653:H653)</f>
        <v>1249713.2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1178123.925</v>
      </c>
      <c r="G654" s="19">
        <f>G650-SUM(G651:G653)</f>
        <v>25311.024579999968</v>
      </c>
      <c r="H654" s="19">
        <f>H650-SUM(H651:H653)</f>
        <v>58512.150419999962</v>
      </c>
      <c r="I654" s="19">
        <f>I650-SUM(I651:I653)</f>
        <v>1261947.0999999999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92.98</v>
      </c>
      <c r="G655" s="249"/>
      <c r="H655" s="249"/>
      <c r="I655" s="19">
        <f>SUM(F655:H655)</f>
        <v>92.98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12670.72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13572.24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-25311.02</v>
      </c>
      <c r="H659" s="18">
        <v>-58512.15</v>
      </c>
      <c r="I659" s="19">
        <f>SUM(F659:H659)</f>
        <v>-83823.17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12670.72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12670.72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copies="5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2DED-928B-49DB-B488-71F524DEC2D3}">
  <sheetPr>
    <tabColor indexed="20"/>
  </sheetPr>
  <dimension ref="A1:C52"/>
  <sheetViews>
    <sheetView workbookViewId="0">
      <selection activeCell="B11" sqref="B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Milan SD</v>
      </c>
      <c r="C1" s="239" t="s">
        <v>873</v>
      </c>
    </row>
    <row r="2" spans="1:3" x14ac:dyDescent="0.2">
      <c r="A2" s="234"/>
      <c r="B2" s="233"/>
    </row>
    <row r="3" spans="1:3" x14ac:dyDescent="0.2">
      <c r="A3" s="275" t="s">
        <v>818</v>
      </c>
      <c r="B3" s="275"/>
      <c r="C3" s="275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2" t="s">
        <v>816</v>
      </c>
      <c r="C7" s="273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366603.7</v>
      </c>
      <c r="C9" s="230">
        <f>'DOE25'!G189+'DOE25'!G207+'DOE25'!G225+'DOE25'!G268+'DOE25'!G287+'DOE25'!G306</f>
        <v>133584.17000000001</v>
      </c>
    </row>
    <row r="10" spans="1:3" x14ac:dyDescent="0.2">
      <c r="A10" t="s">
        <v>813</v>
      </c>
      <c r="B10" s="241">
        <v>339291.67</v>
      </c>
      <c r="C10" s="241">
        <v>131010.96</v>
      </c>
    </row>
    <row r="11" spans="1:3" x14ac:dyDescent="0.2">
      <c r="A11" t="s">
        <v>814</v>
      </c>
      <c r="B11" s="241">
        <v>18334.28</v>
      </c>
      <c r="C11" s="241">
        <v>1873.81</v>
      </c>
    </row>
    <row r="12" spans="1:3" x14ac:dyDescent="0.2">
      <c r="A12" t="s">
        <v>815</v>
      </c>
      <c r="B12" s="241">
        <v>8977.75</v>
      </c>
      <c r="C12" s="241">
        <v>699.4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366603.69999999995</v>
      </c>
      <c r="C13" s="232">
        <f>SUM(C10:C12)</f>
        <v>133584.17000000001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2" t="s">
        <v>738</v>
      </c>
      <c r="C16" s="273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131295.07999999999</v>
      </c>
      <c r="C18" s="230">
        <f>'DOE25'!G190+'DOE25'!G208+'DOE25'!G226+'DOE25'!G269+'DOE25'!G288+'DOE25'!G307</f>
        <v>26090.16</v>
      </c>
    </row>
    <row r="19" spans="1:3" x14ac:dyDescent="0.2">
      <c r="A19" t="s">
        <v>813</v>
      </c>
      <c r="B19" s="241">
        <v>76087.28</v>
      </c>
      <c r="C19" s="241">
        <v>21181.66</v>
      </c>
    </row>
    <row r="20" spans="1:3" x14ac:dyDescent="0.2">
      <c r="A20" t="s">
        <v>814</v>
      </c>
      <c r="B20" s="241">
        <v>54218.28</v>
      </c>
      <c r="C20" s="241">
        <v>4402.6499999999996</v>
      </c>
    </row>
    <row r="21" spans="1:3" x14ac:dyDescent="0.2">
      <c r="A21" t="s">
        <v>815</v>
      </c>
      <c r="B21" s="241">
        <v>989.52</v>
      </c>
      <c r="C21" s="241">
        <v>505.85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131295.07999999999</v>
      </c>
      <c r="C22" s="232">
        <f>SUM(C19:C21)</f>
        <v>26090.159999999996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2" t="s">
        <v>739</v>
      </c>
      <c r="C25" s="273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2" t="s">
        <v>740</v>
      </c>
      <c r="C34" s="273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2289</v>
      </c>
      <c r="C36" s="236">
        <f>'DOE25'!G192+'DOE25'!G210+'DOE25'!G228+'DOE25'!G271+'DOE25'!G290+'DOE25'!G309</f>
        <v>269.72000000000003</v>
      </c>
    </row>
    <row r="37" spans="1:3" x14ac:dyDescent="0.2">
      <c r="A37" t="s">
        <v>813</v>
      </c>
      <c r="B37" s="241">
        <v>1152</v>
      </c>
      <c r="C37" s="241">
        <v>178.6</v>
      </c>
    </row>
    <row r="38" spans="1:3" x14ac:dyDescent="0.2">
      <c r="A38" t="s">
        <v>814</v>
      </c>
      <c r="B38" s="241">
        <v>1137</v>
      </c>
      <c r="C38" s="241">
        <v>91.12</v>
      </c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2289</v>
      </c>
      <c r="C40" s="232">
        <f>SUM(C37:C39)</f>
        <v>269.72000000000003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679D-BD1C-43D5-90E8-7994D9167F03}">
  <sheetPr>
    <tabColor indexed="11"/>
  </sheetPr>
  <dimension ref="A1:I51"/>
  <sheetViews>
    <sheetView workbookViewId="0">
      <pane ySplit="4" topLeftCell="A12" activePane="bottomLeft" state="frozen"/>
      <selection pane="bottomLeft" activeCell="C29" sqref="C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Milan SD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1768615.17</v>
      </c>
      <c r="D5" s="20">
        <f>SUM('DOE25'!L189:L192)+SUM('DOE25'!L207:L210)+SUM('DOE25'!L225:L228)-F5-G5</f>
        <v>1745721.54</v>
      </c>
      <c r="E5" s="244"/>
      <c r="F5" s="256">
        <f>SUM('DOE25'!J189:J192)+SUM('DOE25'!J207:J210)+SUM('DOE25'!J225:J228)</f>
        <v>22349.63</v>
      </c>
      <c r="G5" s="53">
        <f>SUM('DOE25'!K189:K192)+SUM('DOE25'!K207:K210)+SUM('DOE25'!K225:K228)</f>
        <v>544</v>
      </c>
      <c r="H5" s="260"/>
    </row>
    <row r="6" spans="1:9" x14ac:dyDescent="0.2">
      <c r="A6" s="32">
        <v>2100</v>
      </c>
      <c r="B6" t="s">
        <v>835</v>
      </c>
      <c r="C6" s="246">
        <f t="shared" si="0"/>
        <v>116581.33000000003</v>
      </c>
      <c r="D6" s="20">
        <f>'DOE25'!L194+'DOE25'!L212+'DOE25'!L230-F6-G6</f>
        <v>115593.89000000003</v>
      </c>
      <c r="E6" s="244"/>
      <c r="F6" s="256">
        <f>'DOE25'!J194+'DOE25'!J212+'DOE25'!J230</f>
        <v>987.44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54555.33</v>
      </c>
      <c r="D7" s="20">
        <f>'DOE25'!L195+'DOE25'!L213+'DOE25'!L231-F7-G7</f>
        <v>44168.47</v>
      </c>
      <c r="E7" s="244"/>
      <c r="F7" s="256">
        <f>'DOE25'!J195+'DOE25'!J213+'DOE25'!J231</f>
        <v>9726.86</v>
      </c>
      <c r="G7" s="53">
        <f>'DOE25'!K195+'DOE25'!K213+'DOE25'!K231</f>
        <v>660</v>
      </c>
      <c r="H7" s="260"/>
    </row>
    <row r="8" spans="1:9" x14ac:dyDescent="0.2">
      <c r="A8" s="32">
        <v>2300</v>
      </c>
      <c r="B8" t="s">
        <v>836</v>
      </c>
      <c r="C8" s="246">
        <f t="shared" si="0"/>
        <v>82056.849999999991</v>
      </c>
      <c r="D8" s="244"/>
      <c r="E8" s="20">
        <f>'DOE25'!L196+'DOE25'!L214+'DOE25'!L232-F8-G8-D9-D11</f>
        <v>78184.429999999993</v>
      </c>
      <c r="F8" s="256">
        <f>'DOE25'!J196+'DOE25'!J214+'DOE25'!J232</f>
        <v>0</v>
      </c>
      <c r="G8" s="53">
        <f>'DOE25'!K196+'DOE25'!K214+'DOE25'!K232</f>
        <v>3872.42</v>
      </c>
      <c r="H8" s="260"/>
    </row>
    <row r="9" spans="1:9" x14ac:dyDescent="0.2">
      <c r="A9" s="32">
        <v>2310</v>
      </c>
      <c r="B9" t="s">
        <v>852</v>
      </c>
      <c r="C9" s="246">
        <f t="shared" si="0"/>
        <v>14973.77</v>
      </c>
      <c r="D9" s="245">
        <v>14973.77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3525</v>
      </c>
      <c r="D10" s="244"/>
      <c r="E10" s="245">
        <v>3525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23389.15</v>
      </c>
      <c r="D11" s="245">
        <v>23389.15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130454.84</v>
      </c>
      <c r="D12" s="20">
        <f>'DOE25'!L197+'DOE25'!L215+'DOE25'!L233-F12-G12</f>
        <v>128096.4</v>
      </c>
      <c r="E12" s="244"/>
      <c r="F12" s="256">
        <f>'DOE25'!J197+'DOE25'!J215+'DOE25'!J233</f>
        <v>1298.5</v>
      </c>
      <c r="G12" s="53">
        <f>'DOE25'!K197+'DOE25'!K215+'DOE25'!K233</f>
        <v>1059.94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166387.42000000001</v>
      </c>
      <c r="D14" s="20">
        <f>'DOE25'!L199+'DOE25'!L217+'DOE25'!L235-F14-G14</f>
        <v>162677.66</v>
      </c>
      <c r="E14" s="244"/>
      <c r="F14" s="256">
        <f>'DOE25'!J199+'DOE25'!J217+'DOE25'!J235</f>
        <v>3564.76</v>
      </c>
      <c r="G14" s="53">
        <f>'DOE25'!K199+'DOE25'!K217+'DOE25'!K235</f>
        <v>145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144398.72999999998</v>
      </c>
      <c r="D15" s="20">
        <f>'DOE25'!L200+'DOE25'!L218+'DOE25'!L236-F15-G15</f>
        <v>144398.72999999998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537</v>
      </c>
      <c r="D19" s="20">
        <f>'DOE25'!L245-F19-G19</f>
        <v>537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239257.5</v>
      </c>
      <c r="D25" s="244"/>
      <c r="E25" s="244"/>
      <c r="F25" s="259"/>
      <c r="G25" s="257"/>
      <c r="H25" s="258">
        <f>'DOE25'!L252+'DOE25'!L253+'DOE25'!L333+'DOE25'!L334</f>
        <v>239257.5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33897.480000000003</v>
      </c>
      <c r="D29" s="20">
        <f>'DOE25'!L350+'DOE25'!L351+'DOE25'!L352-'DOE25'!I359-F29-G29</f>
        <v>33897.480000000003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138544.76999999999</v>
      </c>
      <c r="D31" s="20">
        <f>'DOE25'!L282+'DOE25'!L301+'DOE25'!L320+'DOE25'!L325+'DOE25'!L326+'DOE25'!L327-F31-G31</f>
        <v>127934.2</v>
      </c>
      <c r="E31" s="244"/>
      <c r="F31" s="256">
        <f>'DOE25'!J282+'DOE25'!J301+'DOE25'!J320+'DOE25'!J325+'DOE25'!J326+'DOE25'!J327</f>
        <v>7972.7000000000007</v>
      </c>
      <c r="G31" s="53">
        <f>'DOE25'!K282+'DOE25'!K301+'DOE25'!K320+'DOE25'!K325+'DOE25'!K326+'DOE25'!K327</f>
        <v>2637.8700000000003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2541388.29</v>
      </c>
      <c r="E33" s="247">
        <f>SUM(E5:E31)</f>
        <v>81709.429999999993</v>
      </c>
      <c r="F33" s="247">
        <f>SUM(F5:F31)</f>
        <v>45899.89</v>
      </c>
      <c r="G33" s="247">
        <f>SUM(G5:G31)</f>
        <v>8919.2300000000014</v>
      </c>
      <c r="H33" s="247">
        <f>SUM(H5:H31)</f>
        <v>239257.5</v>
      </c>
    </row>
    <row r="35" spans="2:8" ht="12" thickBot="1" x14ac:dyDescent="0.25">
      <c r="B35" s="254" t="s">
        <v>881</v>
      </c>
      <c r="D35" s="255">
        <f>E33</f>
        <v>81709.429999999993</v>
      </c>
      <c r="E35" s="250"/>
    </row>
    <row r="36" spans="2:8" ht="12" thickTop="1" x14ac:dyDescent="0.2">
      <c r="B36" t="s">
        <v>849</v>
      </c>
      <c r="D36" s="20">
        <f>D33</f>
        <v>2541388.29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594C-7863-44E8-9B7E-ABD8791B4B96}">
  <sheetPr transitionEvaluation="1" codeName="Sheet2">
    <tabColor indexed="10"/>
  </sheetPr>
  <dimension ref="A1:I156"/>
  <sheetViews>
    <sheetView zoomScale="75" workbookViewId="0">
      <pane ySplit="2" topLeftCell="A21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Milan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604384.84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38063.03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17467.45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72186.740000000005</v>
      </c>
      <c r="D13" s="95">
        <f>'DOE25'!G13</f>
        <v>684.48</v>
      </c>
      <c r="E13" s="95">
        <f>'DOE25'!H13</f>
        <v>31278.12</v>
      </c>
      <c r="F13" s="95">
        <f>'DOE25'!I13</f>
        <v>0</v>
      </c>
      <c r="G13" s="95">
        <f>'DOE25'!J13</f>
        <v>319145.06000000006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3405.17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205247.5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937349.55999999994</v>
      </c>
      <c r="D19" s="41">
        <f>SUM(D9:D18)</f>
        <v>4089.65</v>
      </c>
      <c r="E19" s="41">
        <f>SUM(E9:E18)</f>
        <v>31278.12</v>
      </c>
      <c r="F19" s="41">
        <f>SUM(F9:F18)</f>
        <v>0</v>
      </c>
      <c r="G19" s="41">
        <f>SUM(G9:G18)</f>
        <v>319145.06000000006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3894.17</v>
      </c>
      <c r="E22" s="95">
        <f>'DOE25'!H23</f>
        <v>13573.279999999999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550971.49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17704.84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550971.49</v>
      </c>
      <c r="D32" s="41">
        <f>SUM(D22:D31)</f>
        <v>3894.17</v>
      </c>
      <c r="E32" s="41">
        <f>SUM(E22:E31)</f>
        <v>31278.12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15000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195.48</v>
      </c>
      <c r="E40" s="95">
        <f>'DOE25'!H41</f>
        <v>0</v>
      </c>
      <c r="F40" s="95">
        <f>'DOE25'!I41</f>
        <v>0</v>
      </c>
      <c r="G40" s="95">
        <f>'DOE25'!J41</f>
        <v>319145.06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371378.07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386378.07</v>
      </c>
      <c r="D42" s="41">
        <f>SUM(D34:D41)</f>
        <v>195.48</v>
      </c>
      <c r="E42" s="41">
        <f>SUM(E34:E41)</f>
        <v>0</v>
      </c>
      <c r="F42" s="41">
        <f>SUM(F34:F41)</f>
        <v>0</v>
      </c>
      <c r="G42" s="41">
        <f>SUM(G34:G41)</f>
        <v>319145.06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937349.56</v>
      </c>
      <c r="D43" s="41">
        <f>D42+D32</f>
        <v>4089.65</v>
      </c>
      <c r="E43" s="41">
        <f>E42+E32</f>
        <v>31278.12</v>
      </c>
      <c r="F43" s="41">
        <f>F42+F32</f>
        <v>0</v>
      </c>
      <c r="G43" s="41">
        <f>G42+G32</f>
        <v>319145.06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1021173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196900.4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1575.5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734.16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22552.75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11702.970000000001</v>
      </c>
      <c r="D53" s="95">
        <f>SUM('DOE25'!G90:G102)</f>
        <v>0</v>
      </c>
      <c r="E53" s="95">
        <f>SUM('DOE25'!H90:H102)</f>
        <v>4843.91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210178.87</v>
      </c>
      <c r="D54" s="130">
        <f>SUM(D49:D53)</f>
        <v>22552.75</v>
      </c>
      <c r="E54" s="130">
        <f>SUM(E49:E53)</f>
        <v>4843.91</v>
      </c>
      <c r="F54" s="130">
        <f>SUM(F49:F53)</f>
        <v>0</v>
      </c>
      <c r="G54" s="130">
        <f>SUM(G49:G53)</f>
        <v>734.16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1231351.8700000001</v>
      </c>
      <c r="D55" s="22">
        <f>D48+D54</f>
        <v>22552.75</v>
      </c>
      <c r="E55" s="22">
        <f>E48+E54</f>
        <v>4843.91</v>
      </c>
      <c r="F55" s="22">
        <f>F48+F54</f>
        <v>0</v>
      </c>
      <c r="G55" s="22">
        <f>G48+G54</f>
        <v>734.16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800922.36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278389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307288.64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1386600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70000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95642.13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337.61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165642.13</v>
      </c>
      <c r="D70" s="130">
        <f>SUM(D64:D69)</f>
        <v>337.61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1552242.13</v>
      </c>
      <c r="D73" s="130">
        <f>SUM(D71:D72)+D70+D62</f>
        <v>337.61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44515.69</v>
      </c>
      <c r="D80" s="95">
        <f>SUM('DOE25'!G145:G153)</f>
        <v>15867.77</v>
      </c>
      <c r="E80" s="95">
        <f>SUM('DOE25'!H145:H153)</f>
        <v>163689.69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489.87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14038.509999999998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59044.070000000007</v>
      </c>
      <c r="D83" s="131">
        <f>SUM(D77:D82)</f>
        <v>15867.77</v>
      </c>
      <c r="E83" s="131">
        <f>SUM(E77:E82)</f>
        <v>163689.69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97000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15653.13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15653.13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97000</v>
      </c>
    </row>
    <row r="96" spans="1:7" ht="12.75" thickTop="1" thickBot="1" x14ac:dyDescent="0.25">
      <c r="A96" s="33" t="s">
        <v>797</v>
      </c>
      <c r="C96" s="86">
        <f>C55+C73+C83+C95</f>
        <v>2858291.1999999997</v>
      </c>
      <c r="D96" s="86">
        <f>D55+D73+D83+D95</f>
        <v>38758.130000000005</v>
      </c>
      <c r="E96" s="86">
        <f>E55+E73+E83+E95</f>
        <v>168533.6</v>
      </c>
      <c r="F96" s="86">
        <f>F55+F73+F83+F95</f>
        <v>0</v>
      </c>
      <c r="G96" s="86">
        <f>G55+G73+G95</f>
        <v>97734.16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1448261.4700000002</v>
      </c>
      <c r="D101" s="24" t="s">
        <v>312</v>
      </c>
      <c r="E101" s="95">
        <f>('DOE25'!L268)+('DOE25'!L287)+('DOE25'!L306)</f>
        <v>85985.78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289852.64</v>
      </c>
      <c r="D102" s="24" t="s">
        <v>312</v>
      </c>
      <c r="E102" s="95">
        <f>('DOE25'!L269)+('DOE25'!L288)+('DOE25'!L307)</f>
        <v>43703.290000000008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30501.06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537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1769152.1700000004</v>
      </c>
      <c r="D107" s="86">
        <f>SUM(D101:D106)</f>
        <v>0</v>
      </c>
      <c r="E107" s="86">
        <f>SUM(E101:E106)</f>
        <v>129689.07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116581.33000000003</v>
      </c>
      <c r="D110" s="24" t="s">
        <v>312</v>
      </c>
      <c r="E110" s="95">
        <f>+('DOE25'!L273)+('DOE25'!L292)+('DOE25'!L311)</f>
        <v>2209.9299999999998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54555.33</v>
      </c>
      <c r="D111" s="24" t="s">
        <v>312</v>
      </c>
      <c r="E111" s="95">
        <f>+('DOE25'!L274)+('DOE25'!L293)+('DOE25'!L312)</f>
        <v>4007.8999999999996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120419.76999999999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130454.84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2637.8700000000003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166387.42000000001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144398.72999999998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38654.420000000006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732797.42</v>
      </c>
      <c r="D120" s="86">
        <f>SUM(D110:D119)</f>
        <v>38654.420000000006</v>
      </c>
      <c r="E120" s="86">
        <f>SUM(E110:E119)</f>
        <v>8855.7000000000007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175000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64257.5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15653.13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75300.39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22433.769999999997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-734.16000000000349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29988.83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336257.5</v>
      </c>
      <c r="D136" s="141">
        <f>SUM(D122:D135)</f>
        <v>0</v>
      </c>
      <c r="E136" s="141">
        <f>SUM(E122:E135)</f>
        <v>29988.83</v>
      </c>
      <c r="F136" s="141">
        <f>SUM(F122:F135)</f>
        <v>0</v>
      </c>
      <c r="G136" s="141">
        <f>SUM(G122:G135)</f>
        <v>15653.13</v>
      </c>
    </row>
    <row r="137" spans="1:9" ht="12.75" thickTop="1" thickBot="1" x14ac:dyDescent="0.25">
      <c r="A137" s="33" t="s">
        <v>267</v>
      </c>
      <c r="C137" s="86">
        <f>(C107+C120+C136)</f>
        <v>2838207.0900000003</v>
      </c>
      <c r="D137" s="86">
        <f>(D107+D120+D136)</f>
        <v>38654.420000000006</v>
      </c>
      <c r="E137" s="86">
        <f>(E107+E120+E136)</f>
        <v>168533.60000000003</v>
      </c>
      <c r="F137" s="86">
        <f>(F107+F120+F136)</f>
        <v>0</v>
      </c>
      <c r="G137" s="86">
        <f>(G107+G120+G136)</f>
        <v>15653.13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06/2002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07/2017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2600000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4.38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1550000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1550000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175000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175000</v>
      </c>
    </row>
    <row r="151" spans="1:7" x14ac:dyDescent="0.2">
      <c r="A151" s="22" t="s">
        <v>35</v>
      </c>
      <c r="B151" s="137">
        <f>'DOE25'!F488</f>
        <v>1375000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1375000</v>
      </c>
    </row>
    <row r="152" spans="1:7" x14ac:dyDescent="0.2">
      <c r="A152" s="22" t="s">
        <v>36</v>
      </c>
      <c r="B152" s="137">
        <f>'DOE25'!F489</f>
        <v>241537.5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241537.5</v>
      </c>
    </row>
    <row r="153" spans="1:7" x14ac:dyDescent="0.2">
      <c r="A153" s="22" t="s">
        <v>37</v>
      </c>
      <c r="B153" s="137">
        <f>'DOE25'!F490</f>
        <v>1616537.5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1616537.5</v>
      </c>
    </row>
    <row r="154" spans="1:7" x14ac:dyDescent="0.2">
      <c r="A154" s="22" t="s">
        <v>38</v>
      </c>
      <c r="B154" s="137">
        <f>'DOE25'!F491</f>
        <v>175000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175000</v>
      </c>
    </row>
    <row r="155" spans="1:7" x14ac:dyDescent="0.2">
      <c r="A155" s="22" t="s">
        <v>39</v>
      </c>
      <c r="B155" s="137">
        <f>'DOE25'!F492</f>
        <v>56732.5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56732.5</v>
      </c>
    </row>
    <row r="156" spans="1:7" x14ac:dyDescent="0.2">
      <c r="A156" s="22" t="s">
        <v>269</v>
      </c>
      <c r="B156" s="137">
        <f>'DOE25'!F493</f>
        <v>231732.5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231732.5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copies="5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2A1F-C9A9-4978-93A6-0C832BB70834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Milan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12671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12671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1534247</v>
      </c>
      <c r="D10" s="182">
        <f>ROUND((C10/$C$28)*100,1)</f>
        <v>55.8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333556</v>
      </c>
      <c r="D11" s="182">
        <f>ROUND((C11/$C$28)*100,1)</f>
        <v>12.1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30501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118791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58563</v>
      </c>
      <c r="D16" s="182">
        <f t="shared" si="0"/>
        <v>2.1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120420</v>
      </c>
      <c r="D17" s="182">
        <f t="shared" si="0"/>
        <v>4.4000000000000004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130455</v>
      </c>
      <c r="D18" s="182">
        <f t="shared" si="0"/>
        <v>4.7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2638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166387</v>
      </c>
      <c r="D20" s="182">
        <f t="shared" si="0"/>
        <v>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144399</v>
      </c>
      <c r="D21" s="182">
        <f t="shared" si="0"/>
        <v>5.2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537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64258</v>
      </c>
      <c r="D25" s="182">
        <f t="shared" si="0"/>
        <v>2.2999999999999998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29988.83</v>
      </c>
      <c r="D26" s="182">
        <f t="shared" si="0"/>
        <v>1.1000000000000001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16101.25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2750842.08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2750842.08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175000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1021173</v>
      </c>
      <c r="D35" s="182">
        <f t="shared" ref="D35:D40" si="1">ROUND((C35/$C$41)*100,1)</f>
        <v>33.700000000000003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215756.93999999971</v>
      </c>
      <c r="D36" s="182">
        <f t="shared" si="1"/>
        <v>7.1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1079311</v>
      </c>
      <c r="D37" s="182">
        <f t="shared" si="1"/>
        <v>35.6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473268</v>
      </c>
      <c r="D38" s="182">
        <f t="shared" si="1"/>
        <v>15.6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238602</v>
      </c>
      <c r="D39" s="182">
        <f t="shared" si="1"/>
        <v>7.9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3028110.9399999995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A2AD-E13C-4218-A97D-9D1B5F556619}">
  <sheetPr>
    <tabColor indexed="17"/>
  </sheetPr>
  <dimension ref="A1:IV90"/>
  <sheetViews>
    <sheetView workbookViewId="0">
      <pane ySplit="3" topLeftCell="A4" activePane="bottomLeft" state="frozen"/>
      <selection pane="bottomLeft" activeCell="A4" sqref="A4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4" t="str">
        <f>'DOE25'!A2</f>
        <v>Milan SD</v>
      </c>
      <c r="G2" s="295"/>
      <c r="H2" s="295"/>
      <c r="I2" s="295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93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93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  <c r="AA29" s="208"/>
      <c r="AB29" s="208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08"/>
      <c r="AO29" s="208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08"/>
      <c r="BB29" s="208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08"/>
      <c r="BO29" s="208"/>
      <c r="BP29" s="296"/>
      <c r="BQ29" s="296"/>
      <c r="BR29" s="296"/>
      <c r="BS29" s="296"/>
      <c r="BT29" s="296"/>
      <c r="BU29" s="296"/>
      <c r="BV29" s="296"/>
      <c r="BW29" s="296"/>
      <c r="BX29" s="296"/>
      <c r="BY29" s="296"/>
      <c r="BZ29" s="296"/>
      <c r="CA29" s="208"/>
      <c r="CB29" s="208"/>
      <c r="CC29" s="296"/>
      <c r="CD29" s="296"/>
      <c r="CE29" s="296"/>
      <c r="CF29" s="296"/>
      <c r="CG29" s="296"/>
      <c r="CH29" s="296"/>
      <c r="CI29" s="296"/>
      <c r="CJ29" s="296"/>
      <c r="CK29" s="296"/>
      <c r="CL29" s="296"/>
      <c r="CM29" s="296"/>
      <c r="CN29" s="208"/>
      <c r="CO29" s="208"/>
      <c r="CP29" s="296"/>
      <c r="CQ29" s="296"/>
      <c r="CR29" s="296"/>
      <c r="CS29" s="296"/>
      <c r="CT29" s="296"/>
      <c r="CU29" s="296"/>
      <c r="CV29" s="296"/>
      <c r="CW29" s="296"/>
      <c r="CX29" s="296"/>
      <c r="CY29" s="296"/>
      <c r="CZ29" s="296"/>
      <c r="DA29" s="208"/>
      <c r="DB29" s="208"/>
      <c r="DC29" s="296"/>
      <c r="DD29" s="296"/>
      <c r="DE29" s="296"/>
      <c r="DF29" s="296"/>
      <c r="DG29" s="296"/>
      <c r="DH29" s="296"/>
      <c r="DI29" s="296"/>
      <c r="DJ29" s="296"/>
      <c r="DK29" s="296"/>
      <c r="DL29" s="296"/>
      <c r="DM29" s="296"/>
      <c r="DN29" s="208"/>
      <c r="DO29" s="208"/>
      <c r="DP29" s="296"/>
      <c r="DQ29" s="296"/>
      <c r="DR29" s="296"/>
      <c r="DS29" s="296"/>
      <c r="DT29" s="296"/>
      <c r="DU29" s="296"/>
      <c r="DV29" s="296"/>
      <c r="DW29" s="296"/>
      <c r="DX29" s="296"/>
      <c r="DY29" s="296"/>
      <c r="DZ29" s="296"/>
      <c r="EA29" s="208"/>
      <c r="EB29" s="208"/>
      <c r="EC29" s="296"/>
      <c r="ED29" s="296"/>
      <c r="EE29" s="296"/>
      <c r="EF29" s="296"/>
      <c r="EG29" s="296"/>
      <c r="EH29" s="296"/>
      <c r="EI29" s="296"/>
      <c r="EJ29" s="296"/>
      <c r="EK29" s="296"/>
      <c r="EL29" s="296"/>
      <c r="EM29" s="296"/>
      <c r="EN29" s="208"/>
      <c r="EO29" s="208"/>
      <c r="EP29" s="296"/>
      <c r="EQ29" s="296"/>
      <c r="ER29" s="296"/>
      <c r="ES29" s="296"/>
      <c r="ET29" s="296"/>
      <c r="EU29" s="296"/>
      <c r="EV29" s="296"/>
      <c r="EW29" s="296"/>
      <c r="EX29" s="296"/>
      <c r="EY29" s="296"/>
      <c r="EZ29" s="296"/>
      <c r="FA29" s="208"/>
      <c r="FB29" s="208"/>
      <c r="FC29" s="296"/>
      <c r="FD29" s="296"/>
      <c r="FE29" s="296"/>
      <c r="FF29" s="296"/>
      <c r="FG29" s="296"/>
      <c r="FH29" s="296"/>
      <c r="FI29" s="296"/>
      <c r="FJ29" s="296"/>
      <c r="FK29" s="296"/>
      <c r="FL29" s="296"/>
      <c r="FM29" s="296"/>
      <c r="FN29" s="208"/>
      <c r="FO29" s="208"/>
      <c r="FP29" s="296"/>
      <c r="FQ29" s="296"/>
      <c r="FR29" s="296"/>
      <c r="FS29" s="296"/>
      <c r="FT29" s="296"/>
      <c r="FU29" s="296"/>
      <c r="FV29" s="296"/>
      <c r="FW29" s="296"/>
      <c r="FX29" s="296"/>
      <c r="FY29" s="296"/>
      <c r="FZ29" s="296"/>
      <c r="GA29" s="208"/>
      <c r="GB29" s="208"/>
      <c r="GC29" s="296"/>
      <c r="GD29" s="296"/>
      <c r="GE29" s="296"/>
      <c r="GF29" s="296"/>
      <c r="GG29" s="296"/>
      <c r="GH29" s="296"/>
      <c r="GI29" s="296"/>
      <c r="GJ29" s="296"/>
      <c r="GK29" s="296"/>
      <c r="GL29" s="296"/>
      <c r="GM29" s="296"/>
      <c r="GN29" s="208"/>
      <c r="GO29" s="208"/>
      <c r="GP29" s="296"/>
      <c r="GQ29" s="296"/>
      <c r="GR29" s="296"/>
      <c r="GS29" s="296"/>
      <c r="GT29" s="296"/>
      <c r="GU29" s="296"/>
      <c r="GV29" s="296"/>
      <c r="GW29" s="296"/>
      <c r="GX29" s="296"/>
      <c r="GY29" s="296"/>
      <c r="GZ29" s="296"/>
      <c r="HA29" s="208"/>
      <c r="HB29" s="208"/>
      <c r="HC29" s="296"/>
      <c r="HD29" s="296"/>
      <c r="HE29" s="296"/>
      <c r="HF29" s="296"/>
      <c r="HG29" s="296"/>
      <c r="HH29" s="296"/>
      <c r="HI29" s="296"/>
      <c r="HJ29" s="296"/>
      <c r="HK29" s="296"/>
      <c r="HL29" s="296"/>
      <c r="HM29" s="296"/>
      <c r="HN29" s="208"/>
      <c r="HO29" s="208"/>
      <c r="HP29" s="296"/>
      <c r="HQ29" s="296"/>
      <c r="HR29" s="296"/>
      <c r="HS29" s="296"/>
      <c r="HT29" s="296"/>
      <c r="HU29" s="296"/>
      <c r="HV29" s="296"/>
      <c r="HW29" s="296"/>
      <c r="HX29" s="296"/>
      <c r="HY29" s="296"/>
      <c r="HZ29" s="296"/>
      <c r="IA29" s="208"/>
      <c r="IB29" s="208"/>
      <c r="IC29" s="296"/>
      <c r="ID29" s="296"/>
      <c r="IE29" s="296"/>
      <c r="IF29" s="296"/>
      <c r="IG29" s="296"/>
      <c r="IH29" s="296"/>
      <c r="II29" s="296"/>
      <c r="IJ29" s="296"/>
      <c r="IK29" s="296"/>
      <c r="IL29" s="296"/>
      <c r="IM29" s="296"/>
      <c r="IN29" s="208"/>
      <c r="IO29" s="208"/>
      <c r="IP29" s="296"/>
      <c r="IQ29" s="296"/>
      <c r="IR29" s="296"/>
      <c r="IS29" s="296"/>
      <c r="IT29" s="296"/>
      <c r="IU29" s="296"/>
      <c r="IV29" s="296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  <c r="AA30" s="208"/>
      <c r="AB30" s="208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08"/>
      <c r="AO30" s="208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08"/>
      <c r="BB30" s="208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08"/>
      <c r="BO30" s="208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08"/>
      <c r="CB30" s="208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08"/>
      <c r="CO30" s="208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08"/>
      <c r="DB30" s="208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08"/>
      <c r="DO30" s="208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08"/>
      <c r="EB30" s="208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08"/>
      <c r="EO30" s="208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08"/>
      <c r="FB30" s="208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08"/>
      <c r="FO30" s="208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08"/>
      <c r="GB30" s="208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08"/>
      <c r="GO30" s="208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08"/>
      <c r="HB30" s="208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08"/>
      <c r="HO30" s="208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08"/>
      <c r="IB30" s="208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08"/>
      <c r="IO30" s="208"/>
      <c r="IP30" s="296"/>
      <c r="IQ30" s="296"/>
      <c r="IR30" s="296"/>
      <c r="IS30" s="296"/>
      <c r="IT30" s="296"/>
      <c r="IU30" s="296"/>
      <c r="IV30" s="296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  <c r="AA31" s="208"/>
      <c r="AB31" s="208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08"/>
      <c r="AO31" s="208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08"/>
      <c r="BB31" s="208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6"/>
      <c r="BN31" s="208"/>
      <c r="BO31" s="208"/>
      <c r="BP31" s="296"/>
      <c r="BQ31" s="296"/>
      <c r="BR31" s="296"/>
      <c r="BS31" s="296"/>
      <c r="BT31" s="296"/>
      <c r="BU31" s="296"/>
      <c r="BV31" s="296"/>
      <c r="BW31" s="296"/>
      <c r="BX31" s="296"/>
      <c r="BY31" s="296"/>
      <c r="BZ31" s="296"/>
      <c r="CA31" s="208"/>
      <c r="CB31" s="208"/>
      <c r="CC31" s="296"/>
      <c r="CD31" s="296"/>
      <c r="CE31" s="296"/>
      <c r="CF31" s="296"/>
      <c r="CG31" s="296"/>
      <c r="CH31" s="296"/>
      <c r="CI31" s="296"/>
      <c r="CJ31" s="296"/>
      <c r="CK31" s="296"/>
      <c r="CL31" s="296"/>
      <c r="CM31" s="296"/>
      <c r="CN31" s="208"/>
      <c r="CO31" s="208"/>
      <c r="CP31" s="296"/>
      <c r="CQ31" s="296"/>
      <c r="CR31" s="296"/>
      <c r="CS31" s="296"/>
      <c r="CT31" s="296"/>
      <c r="CU31" s="296"/>
      <c r="CV31" s="296"/>
      <c r="CW31" s="296"/>
      <c r="CX31" s="296"/>
      <c r="CY31" s="296"/>
      <c r="CZ31" s="296"/>
      <c r="DA31" s="208"/>
      <c r="DB31" s="208"/>
      <c r="DC31" s="296"/>
      <c r="DD31" s="296"/>
      <c r="DE31" s="296"/>
      <c r="DF31" s="296"/>
      <c r="DG31" s="296"/>
      <c r="DH31" s="296"/>
      <c r="DI31" s="296"/>
      <c r="DJ31" s="296"/>
      <c r="DK31" s="296"/>
      <c r="DL31" s="296"/>
      <c r="DM31" s="296"/>
      <c r="DN31" s="208"/>
      <c r="DO31" s="208"/>
      <c r="DP31" s="296"/>
      <c r="DQ31" s="296"/>
      <c r="DR31" s="296"/>
      <c r="DS31" s="296"/>
      <c r="DT31" s="296"/>
      <c r="DU31" s="296"/>
      <c r="DV31" s="296"/>
      <c r="DW31" s="296"/>
      <c r="DX31" s="296"/>
      <c r="DY31" s="296"/>
      <c r="DZ31" s="296"/>
      <c r="EA31" s="208"/>
      <c r="EB31" s="208"/>
      <c r="EC31" s="296"/>
      <c r="ED31" s="296"/>
      <c r="EE31" s="296"/>
      <c r="EF31" s="296"/>
      <c r="EG31" s="296"/>
      <c r="EH31" s="296"/>
      <c r="EI31" s="296"/>
      <c r="EJ31" s="296"/>
      <c r="EK31" s="296"/>
      <c r="EL31" s="296"/>
      <c r="EM31" s="296"/>
      <c r="EN31" s="208"/>
      <c r="EO31" s="208"/>
      <c r="EP31" s="296"/>
      <c r="EQ31" s="296"/>
      <c r="ER31" s="296"/>
      <c r="ES31" s="296"/>
      <c r="ET31" s="296"/>
      <c r="EU31" s="296"/>
      <c r="EV31" s="296"/>
      <c r="EW31" s="296"/>
      <c r="EX31" s="296"/>
      <c r="EY31" s="296"/>
      <c r="EZ31" s="296"/>
      <c r="FA31" s="208"/>
      <c r="FB31" s="208"/>
      <c r="FC31" s="296"/>
      <c r="FD31" s="296"/>
      <c r="FE31" s="296"/>
      <c r="FF31" s="296"/>
      <c r="FG31" s="296"/>
      <c r="FH31" s="296"/>
      <c r="FI31" s="296"/>
      <c r="FJ31" s="296"/>
      <c r="FK31" s="296"/>
      <c r="FL31" s="296"/>
      <c r="FM31" s="296"/>
      <c r="FN31" s="208"/>
      <c r="FO31" s="208"/>
      <c r="FP31" s="296"/>
      <c r="FQ31" s="296"/>
      <c r="FR31" s="296"/>
      <c r="FS31" s="296"/>
      <c r="FT31" s="296"/>
      <c r="FU31" s="296"/>
      <c r="FV31" s="296"/>
      <c r="FW31" s="296"/>
      <c r="FX31" s="296"/>
      <c r="FY31" s="296"/>
      <c r="FZ31" s="296"/>
      <c r="GA31" s="208"/>
      <c r="GB31" s="208"/>
      <c r="GC31" s="296"/>
      <c r="GD31" s="296"/>
      <c r="GE31" s="296"/>
      <c r="GF31" s="296"/>
      <c r="GG31" s="296"/>
      <c r="GH31" s="296"/>
      <c r="GI31" s="296"/>
      <c r="GJ31" s="296"/>
      <c r="GK31" s="296"/>
      <c r="GL31" s="296"/>
      <c r="GM31" s="296"/>
      <c r="GN31" s="208"/>
      <c r="GO31" s="208"/>
      <c r="GP31" s="296"/>
      <c r="GQ31" s="296"/>
      <c r="GR31" s="296"/>
      <c r="GS31" s="296"/>
      <c r="GT31" s="296"/>
      <c r="GU31" s="296"/>
      <c r="GV31" s="296"/>
      <c r="GW31" s="296"/>
      <c r="GX31" s="296"/>
      <c r="GY31" s="296"/>
      <c r="GZ31" s="296"/>
      <c r="HA31" s="208"/>
      <c r="HB31" s="208"/>
      <c r="HC31" s="296"/>
      <c r="HD31" s="296"/>
      <c r="HE31" s="296"/>
      <c r="HF31" s="296"/>
      <c r="HG31" s="296"/>
      <c r="HH31" s="296"/>
      <c r="HI31" s="296"/>
      <c r="HJ31" s="296"/>
      <c r="HK31" s="296"/>
      <c r="HL31" s="296"/>
      <c r="HM31" s="296"/>
      <c r="HN31" s="208"/>
      <c r="HO31" s="208"/>
      <c r="HP31" s="296"/>
      <c r="HQ31" s="296"/>
      <c r="HR31" s="296"/>
      <c r="HS31" s="296"/>
      <c r="HT31" s="296"/>
      <c r="HU31" s="296"/>
      <c r="HV31" s="296"/>
      <c r="HW31" s="296"/>
      <c r="HX31" s="296"/>
      <c r="HY31" s="296"/>
      <c r="HZ31" s="296"/>
      <c r="IA31" s="208"/>
      <c r="IB31" s="208"/>
      <c r="IC31" s="296"/>
      <c r="ID31" s="296"/>
      <c r="IE31" s="296"/>
      <c r="IF31" s="296"/>
      <c r="IG31" s="296"/>
      <c r="IH31" s="296"/>
      <c r="II31" s="296"/>
      <c r="IJ31" s="296"/>
      <c r="IK31" s="296"/>
      <c r="IL31" s="296"/>
      <c r="IM31" s="296"/>
      <c r="IN31" s="208"/>
      <c r="IO31" s="208"/>
      <c r="IP31" s="296"/>
      <c r="IQ31" s="296"/>
      <c r="IR31" s="296"/>
      <c r="IS31" s="296"/>
      <c r="IT31" s="296"/>
      <c r="IU31" s="296"/>
      <c r="IV31" s="296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  <c r="AA38" s="208"/>
      <c r="AB38" s="208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08"/>
      <c r="AO38" s="208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08"/>
      <c r="BB38" s="208"/>
      <c r="BC38" s="296"/>
      <c r="BD38" s="296"/>
      <c r="BE38" s="296"/>
      <c r="BF38" s="296"/>
      <c r="BG38" s="296"/>
      <c r="BH38" s="296"/>
      <c r="BI38" s="296"/>
      <c r="BJ38" s="296"/>
      <c r="BK38" s="296"/>
      <c r="BL38" s="296"/>
      <c r="BM38" s="296"/>
      <c r="BN38" s="208"/>
      <c r="BO38" s="208"/>
      <c r="BP38" s="296"/>
      <c r="BQ38" s="296"/>
      <c r="BR38" s="296"/>
      <c r="BS38" s="296"/>
      <c r="BT38" s="296"/>
      <c r="BU38" s="296"/>
      <c r="BV38" s="296"/>
      <c r="BW38" s="296"/>
      <c r="BX38" s="296"/>
      <c r="BY38" s="296"/>
      <c r="BZ38" s="296"/>
      <c r="CA38" s="208"/>
      <c r="CB38" s="208"/>
      <c r="CC38" s="296"/>
      <c r="CD38" s="296"/>
      <c r="CE38" s="296"/>
      <c r="CF38" s="296"/>
      <c r="CG38" s="296"/>
      <c r="CH38" s="296"/>
      <c r="CI38" s="296"/>
      <c r="CJ38" s="296"/>
      <c r="CK38" s="296"/>
      <c r="CL38" s="296"/>
      <c r="CM38" s="296"/>
      <c r="CN38" s="208"/>
      <c r="CO38" s="208"/>
      <c r="CP38" s="296"/>
      <c r="CQ38" s="296"/>
      <c r="CR38" s="296"/>
      <c r="CS38" s="296"/>
      <c r="CT38" s="296"/>
      <c r="CU38" s="296"/>
      <c r="CV38" s="296"/>
      <c r="CW38" s="296"/>
      <c r="CX38" s="296"/>
      <c r="CY38" s="296"/>
      <c r="CZ38" s="296"/>
      <c r="DA38" s="208"/>
      <c r="DB38" s="208"/>
      <c r="DC38" s="296"/>
      <c r="DD38" s="296"/>
      <c r="DE38" s="296"/>
      <c r="DF38" s="296"/>
      <c r="DG38" s="296"/>
      <c r="DH38" s="296"/>
      <c r="DI38" s="296"/>
      <c r="DJ38" s="296"/>
      <c r="DK38" s="296"/>
      <c r="DL38" s="296"/>
      <c r="DM38" s="296"/>
      <c r="DN38" s="208"/>
      <c r="DO38" s="208"/>
      <c r="DP38" s="296"/>
      <c r="DQ38" s="296"/>
      <c r="DR38" s="296"/>
      <c r="DS38" s="296"/>
      <c r="DT38" s="296"/>
      <c r="DU38" s="296"/>
      <c r="DV38" s="296"/>
      <c r="DW38" s="296"/>
      <c r="DX38" s="296"/>
      <c r="DY38" s="296"/>
      <c r="DZ38" s="296"/>
      <c r="EA38" s="208"/>
      <c r="EB38" s="208"/>
      <c r="EC38" s="296"/>
      <c r="ED38" s="296"/>
      <c r="EE38" s="296"/>
      <c r="EF38" s="296"/>
      <c r="EG38" s="296"/>
      <c r="EH38" s="296"/>
      <c r="EI38" s="296"/>
      <c r="EJ38" s="296"/>
      <c r="EK38" s="296"/>
      <c r="EL38" s="296"/>
      <c r="EM38" s="296"/>
      <c r="EN38" s="208"/>
      <c r="EO38" s="208"/>
      <c r="EP38" s="296"/>
      <c r="EQ38" s="296"/>
      <c r="ER38" s="296"/>
      <c r="ES38" s="296"/>
      <c r="ET38" s="296"/>
      <c r="EU38" s="296"/>
      <c r="EV38" s="296"/>
      <c r="EW38" s="296"/>
      <c r="EX38" s="296"/>
      <c r="EY38" s="296"/>
      <c r="EZ38" s="296"/>
      <c r="FA38" s="208"/>
      <c r="FB38" s="208"/>
      <c r="FC38" s="296"/>
      <c r="FD38" s="296"/>
      <c r="FE38" s="296"/>
      <c r="FF38" s="296"/>
      <c r="FG38" s="296"/>
      <c r="FH38" s="296"/>
      <c r="FI38" s="296"/>
      <c r="FJ38" s="296"/>
      <c r="FK38" s="296"/>
      <c r="FL38" s="296"/>
      <c r="FM38" s="296"/>
      <c r="FN38" s="208"/>
      <c r="FO38" s="208"/>
      <c r="FP38" s="296"/>
      <c r="FQ38" s="296"/>
      <c r="FR38" s="296"/>
      <c r="FS38" s="296"/>
      <c r="FT38" s="296"/>
      <c r="FU38" s="296"/>
      <c r="FV38" s="296"/>
      <c r="FW38" s="296"/>
      <c r="FX38" s="296"/>
      <c r="FY38" s="296"/>
      <c r="FZ38" s="296"/>
      <c r="GA38" s="208"/>
      <c r="GB38" s="208"/>
      <c r="GC38" s="296"/>
      <c r="GD38" s="296"/>
      <c r="GE38" s="296"/>
      <c r="GF38" s="296"/>
      <c r="GG38" s="296"/>
      <c r="GH38" s="296"/>
      <c r="GI38" s="296"/>
      <c r="GJ38" s="296"/>
      <c r="GK38" s="296"/>
      <c r="GL38" s="296"/>
      <c r="GM38" s="296"/>
      <c r="GN38" s="208"/>
      <c r="GO38" s="208"/>
      <c r="GP38" s="296"/>
      <c r="GQ38" s="296"/>
      <c r="GR38" s="296"/>
      <c r="GS38" s="296"/>
      <c r="GT38" s="296"/>
      <c r="GU38" s="296"/>
      <c r="GV38" s="296"/>
      <c r="GW38" s="296"/>
      <c r="GX38" s="296"/>
      <c r="GY38" s="296"/>
      <c r="GZ38" s="296"/>
      <c r="HA38" s="208"/>
      <c r="HB38" s="208"/>
      <c r="HC38" s="296"/>
      <c r="HD38" s="296"/>
      <c r="HE38" s="296"/>
      <c r="HF38" s="296"/>
      <c r="HG38" s="296"/>
      <c r="HH38" s="296"/>
      <c r="HI38" s="296"/>
      <c r="HJ38" s="296"/>
      <c r="HK38" s="296"/>
      <c r="HL38" s="296"/>
      <c r="HM38" s="296"/>
      <c r="HN38" s="208"/>
      <c r="HO38" s="208"/>
      <c r="HP38" s="296"/>
      <c r="HQ38" s="296"/>
      <c r="HR38" s="296"/>
      <c r="HS38" s="296"/>
      <c r="HT38" s="296"/>
      <c r="HU38" s="296"/>
      <c r="HV38" s="296"/>
      <c r="HW38" s="296"/>
      <c r="HX38" s="296"/>
      <c r="HY38" s="296"/>
      <c r="HZ38" s="296"/>
      <c r="IA38" s="208"/>
      <c r="IB38" s="208"/>
      <c r="IC38" s="296"/>
      <c r="ID38" s="296"/>
      <c r="IE38" s="296"/>
      <c r="IF38" s="296"/>
      <c r="IG38" s="296"/>
      <c r="IH38" s="296"/>
      <c r="II38" s="296"/>
      <c r="IJ38" s="296"/>
      <c r="IK38" s="296"/>
      <c r="IL38" s="296"/>
      <c r="IM38" s="296"/>
      <c r="IN38" s="208"/>
      <c r="IO38" s="208"/>
      <c r="IP38" s="296"/>
      <c r="IQ38" s="296"/>
      <c r="IR38" s="296"/>
      <c r="IS38" s="296"/>
      <c r="IT38" s="296"/>
      <c r="IU38" s="296"/>
      <c r="IV38" s="296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08"/>
      <c r="AB39" s="208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08"/>
      <c r="AO39" s="208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08"/>
      <c r="BB39" s="208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08"/>
      <c r="BO39" s="208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08"/>
      <c r="CB39" s="208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08"/>
      <c r="CO39" s="208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08"/>
      <c r="DB39" s="208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08"/>
      <c r="DO39" s="208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08"/>
      <c r="EB39" s="208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08"/>
      <c r="EO39" s="208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08"/>
      <c r="FB39" s="208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08"/>
      <c r="FO39" s="208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08"/>
      <c r="GB39" s="208"/>
      <c r="GC39" s="296"/>
      <c r="GD39" s="296"/>
      <c r="GE39" s="296"/>
      <c r="GF39" s="296"/>
      <c r="GG39" s="296"/>
      <c r="GH39" s="296"/>
      <c r="GI39" s="296"/>
      <c r="GJ39" s="296"/>
      <c r="GK39" s="296"/>
      <c r="GL39" s="296"/>
      <c r="GM39" s="296"/>
      <c r="GN39" s="208"/>
      <c r="GO39" s="208"/>
      <c r="GP39" s="296"/>
      <c r="GQ39" s="296"/>
      <c r="GR39" s="296"/>
      <c r="GS39" s="296"/>
      <c r="GT39" s="296"/>
      <c r="GU39" s="296"/>
      <c r="GV39" s="296"/>
      <c r="GW39" s="296"/>
      <c r="GX39" s="296"/>
      <c r="GY39" s="296"/>
      <c r="GZ39" s="296"/>
      <c r="HA39" s="208"/>
      <c r="HB39" s="208"/>
      <c r="HC39" s="296"/>
      <c r="HD39" s="296"/>
      <c r="HE39" s="296"/>
      <c r="HF39" s="296"/>
      <c r="HG39" s="296"/>
      <c r="HH39" s="296"/>
      <c r="HI39" s="296"/>
      <c r="HJ39" s="296"/>
      <c r="HK39" s="296"/>
      <c r="HL39" s="296"/>
      <c r="HM39" s="296"/>
      <c r="HN39" s="208"/>
      <c r="HO39" s="208"/>
      <c r="HP39" s="296"/>
      <c r="HQ39" s="296"/>
      <c r="HR39" s="296"/>
      <c r="HS39" s="296"/>
      <c r="HT39" s="296"/>
      <c r="HU39" s="296"/>
      <c r="HV39" s="296"/>
      <c r="HW39" s="296"/>
      <c r="HX39" s="296"/>
      <c r="HY39" s="296"/>
      <c r="HZ39" s="296"/>
      <c r="IA39" s="208"/>
      <c r="IB39" s="208"/>
      <c r="IC39" s="296"/>
      <c r="ID39" s="296"/>
      <c r="IE39" s="296"/>
      <c r="IF39" s="296"/>
      <c r="IG39" s="296"/>
      <c r="IH39" s="296"/>
      <c r="II39" s="296"/>
      <c r="IJ39" s="296"/>
      <c r="IK39" s="296"/>
      <c r="IL39" s="296"/>
      <c r="IM39" s="296"/>
      <c r="IN39" s="208"/>
      <c r="IO39" s="208"/>
      <c r="IP39" s="296"/>
      <c r="IQ39" s="296"/>
      <c r="IR39" s="296"/>
      <c r="IS39" s="296"/>
      <c r="IT39" s="296"/>
      <c r="IU39" s="296"/>
      <c r="IV39" s="296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08"/>
      <c r="AB40" s="208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08"/>
      <c r="AO40" s="208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08"/>
      <c r="BB40" s="208"/>
      <c r="BC40" s="296"/>
      <c r="BD40" s="296"/>
      <c r="BE40" s="296"/>
      <c r="BF40" s="296"/>
      <c r="BG40" s="296"/>
      <c r="BH40" s="296"/>
      <c r="BI40" s="296"/>
      <c r="BJ40" s="296"/>
      <c r="BK40" s="296"/>
      <c r="BL40" s="296"/>
      <c r="BM40" s="296"/>
      <c r="BN40" s="208"/>
      <c r="BO40" s="208"/>
      <c r="BP40" s="296"/>
      <c r="BQ40" s="296"/>
      <c r="BR40" s="296"/>
      <c r="BS40" s="296"/>
      <c r="BT40" s="296"/>
      <c r="BU40" s="296"/>
      <c r="BV40" s="296"/>
      <c r="BW40" s="296"/>
      <c r="BX40" s="296"/>
      <c r="BY40" s="296"/>
      <c r="BZ40" s="296"/>
      <c r="CA40" s="208"/>
      <c r="CB40" s="208"/>
      <c r="CC40" s="296"/>
      <c r="CD40" s="296"/>
      <c r="CE40" s="296"/>
      <c r="CF40" s="296"/>
      <c r="CG40" s="296"/>
      <c r="CH40" s="296"/>
      <c r="CI40" s="296"/>
      <c r="CJ40" s="296"/>
      <c r="CK40" s="296"/>
      <c r="CL40" s="296"/>
      <c r="CM40" s="296"/>
      <c r="CN40" s="208"/>
      <c r="CO40" s="208"/>
      <c r="CP40" s="296"/>
      <c r="CQ40" s="296"/>
      <c r="CR40" s="296"/>
      <c r="CS40" s="296"/>
      <c r="CT40" s="296"/>
      <c r="CU40" s="296"/>
      <c r="CV40" s="296"/>
      <c r="CW40" s="296"/>
      <c r="CX40" s="296"/>
      <c r="CY40" s="296"/>
      <c r="CZ40" s="296"/>
      <c r="DA40" s="208"/>
      <c r="DB40" s="208"/>
      <c r="DC40" s="296"/>
      <c r="DD40" s="296"/>
      <c r="DE40" s="296"/>
      <c r="DF40" s="296"/>
      <c r="DG40" s="296"/>
      <c r="DH40" s="296"/>
      <c r="DI40" s="296"/>
      <c r="DJ40" s="296"/>
      <c r="DK40" s="296"/>
      <c r="DL40" s="296"/>
      <c r="DM40" s="296"/>
      <c r="DN40" s="208"/>
      <c r="DO40" s="208"/>
      <c r="DP40" s="296"/>
      <c r="DQ40" s="296"/>
      <c r="DR40" s="296"/>
      <c r="DS40" s="296"/>
      <c r="DT40" s="296"/>
      <c r="DU40" s="296"/>
      <c r="DV40" s="296"/>
      <c r="DW40" s="296"/>
      <c r="DX40" s="296"/>
      <c r="DY40" s="296"/>
      <c r="DZ40" s="296"/>
      <c r="EA40" s="208"/>
      <c r="EB40" s="208"/>
      <c r="EC40" s="296"/>
      <c r="ED40" s="296"/>
      <c r="EE40" s="296"/>
      <c r="EF40" s="296"/>
      <c r="EG40" s="296"/>
      <c r="EH40" s="296"/>
      <c r="EI40" s="296"/>
      <c r="EJ40" s="296"/>
      <c r="EK40" s="296"/>
      <c r="EL40" s="296"/>
      <c r="EM40" s="296"/>
      <c r="EN40" s="208"/>
      <c r="EO40" s="208"/>
      <c r="EP40" s="296"/>
      <c r="EQ40" s="296"/>
      <c r="ER40" s="296"/>
      <c r="ES40" s="296"/>
      <c r="ET40" s="296"/>
      <c r="EU40" s="296"/>
      <c r="EV40" s="296"/>
      <c r="EW40" s="296"/>
      <c r="EX40" s="296"/>
      <c r="EY40" s="296"/>
      <c r="EZ40" s="296"/>
      <c r="FA40" s="208"/>
      <c r="FB40" s="208"/>
      <c r="FC40" s="296"/>
      <c r="FD40" s="296"/>
      <c r="FE40" s="296"/>
      <c r="FF40" s="296"/>
      <c r="FG40" s="296"/>
      <c r="FH40" s="296"/>
      <c r="FI40" s="296"/>
      <c r="FJ40" s="296"/>
      <c r="FK40" s="296"/>
      <c r="FL40" s="296"/>
      <c r="FM40" s="296"/>
      <c r="FN40" s="208"/>
      <c r="FO40" s="208"/>
      <c r="FP40" s="296"/>
      <c r="FQ40" s="296"/>
      <c r="FR40" s="296"/>
      <c r="FS40" s="296"/>
      <c r="FT40" s="296"/>
      <c r="FU40" s="296"/>
      <c r="FV40" s="296"/>
      <c r="FW40" s="296"/>
      <c r="FX40" s="296"/>
      <c r="FY40" s="296"/>
      <c r="FZ40" s="296"/>
      <c r="GA40" s="208"/>
      <c r="GB40" s="208"/>
      <c r="GC40" s="296"/>
      <c r="GD40" s="296"/>
      <c r="GE40" s="296"/>
      <c r="GF40" s="296"/>
      <c r="GG40" s="296"/>
      <c r="GH40" s="296"/>
      <c r="GI40" s="296"/>
      <c r="GJ40" s="296"/>
      <c r="GK40" s="296"/>
      <c r="GL40" s="296"/>
      <c r="GM40" s="296"/>
      <c r="GN40" s="208"/>
      <c r="GO40" s="208"/>
      <c r="GP40" s="296"/>
      <c r="GQ40" s="296"/>
      <c r="GR40" s="296"/>
      <c r="GS40" s="296"/>
      <c r="GT40" s="296"/>
      <c r="GU40" s="296"/>
      <c r="GV40" s="296"/>
      <c r="GW40" s="296"/>
      <c r="GX40" s="296"/>
      <c r="GY40" s="296"/>
      <c r="GZ40" s="296"/>
      <c r="HA40" s="208"/>
      <c r="HB40" s="208"/>
      <c r="HC40" s="296"/>
      <c r="HD40" s="296"/>
      <c r="HE40" s="296"/>
      <c r="HF40" s="296"/>
      <c r="HG40" s="296"/>
      <c r="HH40" s="296"/>
      <c r="HI40" s="296"/>
      <c r="HJ40" s="296"/>
      <c r="HK40" s="296"/>
      <c r="HL40" s="296"/>
      <c r="HM40" s="296"/>
      <c r="HN40" s="208"/>
      <c r="HO40" s="208"/>
      <c r="HP40" s="296"/>
      <c r="HQ40" s="296"/>
      <c r="HR40" s="296"/>
      <c r="HS40" s="296"/>
      <c r="HT40" s="296"/>
      <c r="HU40" s="296"/>
      <c r="HV40" s="296"/>
      <c r="HW40" s="296"/>
      <c r="HX40" s="296"/>
      <c r="HY40" s="296"/>
      <c r="HZ40" s="296"/>
      <c r="IA40" s="208"/>
      <c r="IB40" s="208"/>
      <c r="IC40" s="296"/>
      <c r="ID40" s="296"/>
      <c r="IE40" s="296"/>
      <c r="IF40" s="296"/>
      <c r="IG40" s="296"/>
      <c r="IH40" s="296"/>
      <c r="II40" s="296"/>
      <c r="IJ40" s="296"/>
      <c r="IK40" s="296"/>
      <c r="IL40" s="296"/>
      <c r="IM40" s="296"/>
      <c r="IN40" s="208"/>
      <c r="IO40" s="208"/>
      <c r="IP40" s="296"/>
      <c r="IQ40" s="296"/>
      <c r="IR40" s="296"/>
      <c r="IS40" s="296"/>
      <c r="IT40" s="296"/>
      <c r="IU40" s="296"/>
      <c r="IV40" s="296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6" t="s">
        <v>893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3:M43"/>
    <mergeCell ref="IC40:IM40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GC39:GM39"/>
    <mergeCell ref="DC40:DM40"/>
    <mergeCell ref="EP40:EZ40"/>
    <mergeCell ref="DP40:DZ40"/>
    <mergeCell ref="P39:Z39"/>
    <mergeCell ref="AC39:AM39"/>
    <mergeCell ref="AP39:AZ39"/>
    <mergeCell ref="CP39:CZ39"/>
    <mergeCell ref="BP39:BZ39"/>
    <mergeCell ref="CC39:CM39"/>
    <mergeCell ref="DC39:DM39"/>
    <mergeCell ref="DP39:DZ39"/>
    <mergeCell ref="EC39:EM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2010-10-21T19:14:28Z</cp:lastPrinted>
  <dcterms:created xsi:type="dcterms:W3CDTF">1997-12-04T19:04:30Z</dcterms:created>
  <dcterms:modified xsi:type="dcterms:W3CDTF">2025-01-09T20:10:51Z</dcterms:modified>
</cp:coreProperties>
</file>