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3123AF7-208C-4889-82A7-A8C5F3393E92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5FCB2E29-BCF0-47EF-9F1B-7B63D95854B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1" l="1"/>
  <c r="F116" i="1"/>
  <c r="F458" i="1"/>
  <c r="C20" i="12"/>
  <c r="C21" i="12"/>
  <c r="B19" i="12"/>
  <c r="B28" i="12"/>
  <c r="C30" i="12"/>
  <c r="C29" i="12"/>
  <c r="C39" i="12"/>
  <c r="B37" i="12"/>
  <c r="B38" i="12"/>
  <c r="B40" i="12" s="1"/>
  <c r="B39" i="12"/>
  <c r="B12" i="12"/>
  <c r="B13" i="12" s="1"/>
  <c r="B10" i="12"/>
  <c r="D11" i="13"/>
  <c r="D9" i="13"/>
  <c r="H533" i="1"/>
  <c r="H532" i="1"/>
  <c r="H531" i="1"/>
  <c r="L531" i="1" s="1"/>
  <c r="H528" i="1"/>
  <c r="H529" i="1" s="1"/>
  <c r="H527" i="1"/>
  <c r="H526" i="1"/>
  <c r="J511" i="1"/>
  <c r="J514" i="1" s="1"/>
  <c r="J535" i="1" s="1"/>
  <c r="I511" i="1"/>
  <c r="H511" i="1"/>
  <c r="H514" i="1" s="1"/>
  <c r="G511" i="1"/>
  <c r="F511" i="1"/>
  <c r="J513" i="1"/>
  <c r="I513" i="1"/>
  <c r="G513" i="1"/>
  <c r="F513" i="1"/>
  <c r="L513" i="1" s="1"/>
  <c r="F541" i="1" s="1"/>
  <c r="J512" i="1"/>
  <c r="I512" i="1"/>
  <c r="G512" i="1"/>
  <c r="F512" i="1"/>
  <c r="F514" i="1" s="1"/>
  <c r="F535" i="1" s="1"/>
  <c r="H513" i="1"/>
  <c r="H512" i="1"/>
  <c r="I547" i="1"/>
  <c r="H547" i="1"/>
  <c r="G547" i="1"/>
  <c r="J547" i="1"/>
  <c r="F547" i="1"/>
  <c r="F550" i="1" s="1"/>
  <c r="G554" i="1"/>
  <c r="G553" i="1"/>
  <c r="G552" i="1"/>
  <c r="F554" i="1"/>
  <c r="F553" i="1"/>
  <c r="L553" i="1" s="1"/>
  <c r="L555" i="1" s="1"/>
  <c r="F552" i="1"/>
  <c r="I554" i="1"/>
  <c r="I555" i="1" s="1"/>
  <c r="I553" i="1"/>
  <c r="I552" i="1"/>
  <c r="K558" i="1"/>
  <c r="I558" i="1"/>
  <c r="K557" i="1"/>
  <c r="K560" i="1" s="1"/>
  <c r="I557" i="1"/>
  <c r="G558" i="1"/>
  <c r="G557" i="1"/>
  <c r="F558" i="1"/>
  <c r="F557" i="1"/>
  <c r="L557" i="1" s="1"/>
  <c r="L560" i="1" s="1"/>
  <c r="H572" i="1"/>
  <c r="G572" i="1"/>
  <c r="I572" i="1" s="1"/>
  <c r="F572" i="1"/>
  <c r="H574" i="1"/>
  <c r="G518" i="1"/>
  <c r="G517" i="1"/>
  <c r="G516" i="1"/>
  <c r="F518" i="1"/>
  <c r="L518" i="1" s="1"/>
  <c r="G541" i="1" s="1"/>
  <c r="F516" i="1"/>
  <c r="F519" i="1" s="1"/>
  <c r="I518" i="1"/>
  <c r="I517" i="1"/>
  <c r="I516" i="1"/>
  <c r="I519" i="1" s="1"/>
  <c r="I535" i="1" s="1"/>
  <c r="H518" i="1"/>
  <c r="H517" i="1"/>
  <c r="H519" i="1" s="1"/>
  <c r="H516" i="1"/>
  <c r="F517" i="1"/>
  <c r="G523" i="1"/>
  <c r="G522" i="1"/>
  <c r="G521" i="1"/>
  <c r="F523" i="1"/>
  <c r="F522" i="1"/>
  <c r="L522" i="1" s="1"/>
  <c r="H540" i="1" s="1"/>
  <c r="F521" i="1"/>
  <c r="I497" i="1"/>
  <c r="I601" i="1"/>
  <c r="I604" i="1" s="1"/>
  <c r="G602" i="1"/>
  <c r="G603" i="1"/>
  <c r="L603" i="1" s="1"/>
  <c r="H653" i="1" s="1"/>
  <c r="G601" i="1"/>
  <c r="F603" i="1"/>
  <c r="F602" i="1"/>
  <c r="F601" i="1"/>
  <c r="J584" i="1"/>
  <c r="I584" i="1"/>
  <c r="K584" i="1" s="1"/>
  <c r="J583" i="1"/>
  <c r="K583" i="1" s="1"/>
  <c r="J582" i="1"/>
  <c r="I582" i="1"/>
  <c r="H582" i="1"/>
  <c r="K582" i="1" s="1"/>
  <c r="J581" i="1"/>
  <c r="I581" i="1"/>
  <c r="I588" i="1" s="1"/>
  <c r="H640" i="1" s="1"/>
  <c r="H581" i="1"/>
  <c r="H594" i="1"/>
  <c r="J594" i="1"/>
  <c r="I594" i="1"/>
  <c r="K594" i="1" s="1"/>
  <c r="F268" i="1"/>
  <c r="F275" i="1"/>
  <c r="J307" i="1"/>
  <c r="J288" i="1"/>
  <c r="J269" i="1"/>
  <c r="I316" i="1"/>
  <c r="L316" i="1" s="1"/>
  <c r="I313" i="1"/>
  <c r="I312" i="1"/>
  <c r="I320" i="1" s="1"/>
  <c r="I311" i="1"/>
  <c r="I307" i="1"/>
  <c r="I297" i="1"/>
  <c r="I294" i="1"/>
  <c r="I293" i="1"/>
  <c r="I292" i="1"/>
  <c r="I288" i="1"/>
  <c r="I301" i="1" s="1"/>
  <c r="I278" i="1"/>
  <c r="I275" i="1"/>
  <c r="I274" i="1"/>
  <c r="L274" i="1" s="1"/>
  <c r="I273" i="1"/>
  <c r="I269" i="1"/>
  <c r="L269" i="1" s="1"/>
  <c r="I287" i="1"/>
  <c r="H312" i="1"/>
  <c r="H311" i="1"/>
  <c r="H293" i="1"/>
  <c r="H292" i="1"/>
  <c r="H301" i="1" s="1"/>
  <c r="H274" i="1"/>
  <c r="H273" i="1"/>
  <c r="H282" i="1" s="1"/>
  <c r="H287" i="1"/>
  <c r="H309" i="1"/>
  <c r="G309" i="1"/>
  <c r="G320" i="1" s="1"/>
  <c r="G307" i="1"/>
  <c r="G288" i="1"/>
  <c r="L288" i="1" s="1"/>
  <c r="G287" i="1"/>
  <c r="G273" i="1"/>
  <c r="G269" i="1"/>
  <c r="F313" i="1"/>
  <c r="L313" i="1" s="1"/>
  <c r="F312" i="1"/>
  <c r="F307" i="1"/>
  <c r="L307" i="1" s="1"/>
  <c r="F294" i="1"/>
  <c r="F293" i="1"/>
  <c r="F288" i="1"/>
  <c r="F287" i="1"/>
  <c r="L287" i="1" s="1"/>
  <c r="L301" i="1" s="1"/>
  <c r="F274" i="1"/>
  <c r="F273" i="1"/>
  <c r="L273" i="1" s="1"/>
  <c r="E110" i="2" s="1"/>
  <c r="F269" i="1"/>
  <c r="G225" i="1"/>
  <c r="G207" i="1"/>
  <c r="G189" i="1"/>
  <c r="C9" i="12" s="1"/>
  <c r="G230" i="1"/>
  <c r="G212" i="1"/>
  <c r="G194" i="1"/>
  <c r="G233" i="1"/>
  <c r="G197" i="1"/>
  <c r="K233" i="1"/>
  <c r="G12" i="13" s="1"/>
  <c r="J247" i="1"/>
  <c r="J237" i="1"/>
  <c r="F16" i="13" s="1"/>
  <c r="J219" i="1"/>
  <c r="J201" i="1"/>
  <c r="J194" i="1"/>
  <c r="J225" i="1"/>
  <c r="J207" i="1"/>
  <c r="J221" i="1" s="1"/>
  <c r="J189" i="1"/>
  <c r="I235" i="1"/>
  <c r="I217" i="1"/>
  <c r="I199" i="1"/>
  <c r="I197" i="1"/>
  <c r="L197" i="1" s="1"/>
  <c r="I231" i="1"/>
  <c r="I195" i="1"/>
  <c r="I203" i="1" s="1"/>
  <c r="I227" i="1"/>
  <c r="I226" i="1"/>
  <c r="I208" i="1"/>
  <c r="I190" i="1"/>
  <c r="I225" i="1"/>
  <c r="I189" i="1"/>
  <c r="H236" i="1"/>
  <c r="H218" i="1"/>
  <c r="H200" i="1"/>
  <c r="H235" i="1"/>
  <c r="H217" i="1"/>
  <c r="H199" i="1"/>
  <c r="H233" i="1"/>
  <c r="H197" i="1"/>
  <c r="H232" i="1"/>
  <c r="H214" i="1"/>
  <c r="H221" i="1" s="1"/>
  <c r="H196" i="1"/>
  <c r="H195" i="1"/>
  <c r="H227" i="1"/>
  <c r="H226" i="1"/>
  <c r="H208" i="1"/>
  <c r="H190" i="1"/>
  <c r="H225" i="1"/>
  <c r="H189" i="1"/>
  <c r="H203" i="1" s="1"/>
  <c r="K252" i="1"/>
  <c r="H201" i="1"/>
  <c r="H219" i="1"/>
  <c r="H237" i="1"/>
  <c r="L237" i="1" s="1"/>
  <c r="I207" i="1"/>
  <c r="G228" i="1"/>
  <c r="G210" i="1"/>
  <c r="C36" i="12" s="1"/>
  <c r="G192" i="1"/>
  <c r="G237" i="1"/>
  <c r="G235" i="1"/>
  <c r="L235" i="1" s="1"/>
  <c r="G232" i="1"/>
  <c r="G231" i="1"/>
  <c r="L231" i="1" s="1"/>
  <c r="G227" i="1"/>
  <c r="C27" i="12" s="1"/>
  <c r="C28" i="12" s="1"/>
  <c r="C31" i="12" s="1"/>
  <c r="G226" i="1"/>
  <c r="G219" i="1"/>
  <c r="G217" i="1"/>
  <c r="G215" i="1"/>
  <c r="G214" i="1"/>
  <c r="G213" i="1"/>
  <c r="G208" i="1"/>
  <c r="G201" i="1"/>
  <c r="G199" i="1"/>
  <c r="L199" i="1" s="1"/>
  <c r="G196" i="1"/>
  <c r="G195" i="1"/>
  <c r="G203" i="1" s="1"/>
  <c r="G190" i="1"/>
  <c r="C18" i="12" s="1"/>
  <c r="C19" i="12" s="1"/>
  <c r="C22" i="12" s="1"/>
  <c r="F237" i="1"/>
  <c r="F219" i="1"/>
  <c r="F201" i="1"/>
  <c r="F212" i="1"/>
  <c r="F194" i="1"/>
  <c r="I237" i="1"/>
  <c r="I219" i="1"/>
  <c r="I201" i="1"/>
  <c r="J235" i="1"/>
  <c r="J217" i="1"/>
  <c r="J199" i="1"/>
  <c r="F14" i="13" s="1"/>
  <c r="F235" i="1"/>
  <c r="F217" i="1"/>
  <c r="F199" i="1"/>
  <c r="F232" i="1"/>
  <c r="K232" i="1"/>
  <c r="K214" i="1"/>
  <c r="K196" i="1"/>
  <c r="I232" i="1"/>
  <c r="I214" i="1"/>
  <c r="I196" i="1"/>
  <c r="F214" i="1"/>
  <c r="F196" i="1"/>
  <c r="L196" i="1" s="1"/>
  <c r="J232" i="1"/>
  <c r="J214" i="1"/>
  <c r="J196" i="1"/>
  <c r="K231" i="1"/>
  <c r="K213" i="1"/>
  <c r="I213" i="1"/>
  <c r="H231" i="1"/>
  <c r="H213" i="1"/>
  <c r="I230" i="1"/>
  <c r="I212" i="1"/>
  <c r="L212" i="1" s="1"/>
  <c r="I194" i="1"/>
  <c r="H230" i="1"/>
  <c r="H239" i="1" s="1"/>
  <c r="H212" i="1"/>
  <c r="H194" i="1"/>
  <c r="F230" i="1"/>
  <c r="H228" i="1"/>
  <c r="F226" i="1"/>
  <c r="F239" i="1" s="1"/>
  <c r="F208" i="1"/>
  <c r="F190" i="1"/>
  <c r="L190" i="1" s="1"/>
  <c r="J226" i="1"/>
  <c r="J208" i="1"/>
  <c r="J190" i="1"/>
  <c r="J203" i="1" s="1"/>
  <c r="K230" i="1"/>
  <c r="K228" i="1"/>
  <c r="K239" i="1" s="1"/>
  <c r="K227" i="1"/>
  <c r="K225" i="1"/>
  <c r="K215" i="1"/>
  <c r="K210" i="1"/>
  <c r="K207" i="1"/>
  <c r="K221" i="1" s="1"/>
  <c r="K197" i="1"/>
  <c r="K192" i="1"/>
  <c r="G5" i="13" s="1"/>
  <c r="K189" i="1"/>
  <c r="J231" i="1"/>
  <c r="J230" i="1"/>
  <c r="F6" i="13" s="1"/>
  <c r="J227" i="1"/>
  <c r="J215" i="1"/>
  <c r="F12" i="13" s="1"/>
  <c r="J195" i="1"/>
  <c r="I233" i="1"/>
  <c r="I228" i="1"/>
  <c r="I215" i="1"/>
  <c r="I210" i="1"/>
  <c r="I192" i="1"/>
  <c r="H215" i="1"/>
  <c r="H210" i="1"/>
  <c r="H207" i="1"/>
  <c r="F233" i="1"/>
  <c r="L233" i="1" s="1"/>
  <c r="F231" i="1"/>
  <c r="F228" i="1"/>
  <c r="L228" i="1" s="1"/>
  <c r="F227" i="1"/>
  <c r="F225" i="1"/>
  <c r="F215" i="1"/>
  <c r="F213" i="1"/>
  <c r="F210" i="1"/>
  <c r="L210" i="1" s="1"/>
  <c r="F207" i="1"/>
  <c r="F221" i="1" s="1"/>
  <c r="F197" i="1"/>
  <c r="F195" i="1"/>
  <c r="F192" i="1"/>
  <c r="F189" i="1"/>
  <c r="L189" i="1" s="1"/>
  <c r="J88" i="1"/>
  <c r="H398" i="1"/>
  <c r="L398" i="1" s="1"/>
  <c r="I392" i="1"/>
  <c r="H392" i="1"/>
  <c r="H397" i="1"/>
  <c r="H396" i="1"/>
  <c r="H395" i="1"/>
  <c r="L395" i="1" s="1"/>
  <c r="L399" i="1" s="1"/>
  <c r="C132" i="2" s="1"/>
  <c r="H424" i="1"/>
  <c r="H418" i="1"/>
  <c r="L418" i="1" s="1"/>
  <c r="I421" i="1"/>
  <c r="J421" i="1"/>
  <c r="H432" i="1"/>
  <c r="G432" i="1"/>
  <c r="H370" i="1"/>
  <c r="L370" i="1" s="1"/>
  <c r="I12" i="1"/>
  <c r="I462" i="1"/>
  <c r="H360" i="1"/>
  <c r="G360" i="1"/>
  <c r="G359" i="1"/>
  <c r="F360" i="1"/>
  <c r="F359" i="1"/>
  <c r="I359" i="1" s="1"/>
  <c r="I361" i="1" s="1"/>
  <c r="H624" i="1" s="1"/>
  <c r="H352" i="1"/>
  <c r="H351" i="1"/>
  <c r="H350" i="1"/>
  <c r="H354" i="1" s="1"/>
  <c r="I352" i="1"/>
  <c r="J352" i="1"/>
  <c r="L352" i="1" s="1"/>
  <c r="H651" i="1" s="1"/>
  <c r="F352" i="1"/>
  <c r="J351" i="1"/>
  <c r="I351" i="1"/>
  <c r="F351" i="1"/>
  <c r="J350" i="1"/>
  <c r="J354" i="1" s="1"/>
  <c r="I350" i="1"/>
  <c r="F350" i="1"/>
  <c r="L350" i="1" s="1"/>
  <c r="G153" i="1"/>
  <c r="G150" i="1"/>
  <c r="G124" i="1"/>
  <c r="G128" i="1" s="1"/>
  <c r="G89" i="1"/>
  <c r="G41" i="1"/>
  <c r="G43" i="1" s="1"/>
  <c r="G12" i="1"/>
  <c r="G13" i="1"/>
  <c r="G9" i="1"/>
  <c r="F462" i="1"/>
  <c r="H622" i="1" s="1"/>
  <c r="F42" i="1"/>
  <c r="F43" i="1" s="1"/>
  <c r="F30" i="1"/>
  <c r="F33" i="1" s="1"/>
  <c r="F181" i="1"/>
  <c r="C93" i="2" s="1"/>
  <c r="F179" i="1"/>
  <c r="F152" i="1"/>
  <c r="F120" i="1"/>
  <c r="C68" i="2" s="1"/>
  <c r="F119" i="1"/>
  <c r="F118" i="1"/>
  <c r="C67" i="2" s="1"/>
  <c r="F115" i="1"/>
  <c r="F111" i="1"/>
  <c r="F110" i="1"/>
  <c r="F109" i="1"/>
  <c r="C37" i="10" s="1"/>
  <c r="F102" i="1"/>
  <c r="F101" i="1"/>
  <c r="F93" i="1"/>
  <c r="F103" i="1" s="1"/>
  <c r="F88" i="1"/>
  <c r="F62" i="1"/>
  <c r="F61" i="1"/>
  <c r="F60" i="1"/>
  <c r="F56" i="1"/>
  <c r="F71" i="1" s="1"/>
  <c r="F104" i="1" s="1"/>
  <c r="F55" i="1"/>
  <c r="F49" i="1"/>
  <c r="K287" i="1"/>
  <c r="J308" i="1"/>
  <c r="J287" i="1"/>
  <c r="F271" i="1"/>
  <c r="L271" i="1" s="1"/>
  <c r="I271" i="1"/>
  <c r="I309" i="1"/>
  <c r="I308" i="1"/>
  <c r="H317" i="1"/>
  <c r="H320" i="1" s="1"/>
  <c r="H308" i="1"/>
  <c r="H298" i="1"/>
  <c r="L298" i="1" s="1"/>
  <c r="G652" i="1" s="1"/>
  <c r="H297" i="1"/>
  <c r="G294" i="1"/>
  <c r="G275" i="1"/>
  <c r="G271" i="1"/>
  <c r="G268" i="1"/>
  <c r="G282" i="1" s="1"/>
  <c r="F309" i="1"/>
  <c r="H462" i="1"/>
  <c r="H623" i="1" s="1"/>
  <c r="H458" i="1"/>
  <c r="H455" i="1"/>
  <c r="H127" i="1"/>
  <c r="H128" i="1" s="1"/>
  <c r="H153" i="1"/>
  <c r="H102" i="1"/>
  <c r="H103" i="1" s="1"/>
  <c r="H94" i="1"/>
  <c r="H70" i="1"/>
  <c r="H41" i="1"/>
  <c r="H14" i="1"/>
  <c r="E14" i="2" s="1"/>
  <c r="H13" i="1"/>
  <c r="E13" i="2" s="1"/>
  <c r="H31" i="1"/>
  <c r="H12" i="1"/>
  <c r="G306" i="1"/>
  <c r="I317" i="1"/>
  <c r="F306" i="1"/>
  <c r="L306" i="1" s="1"/>
  <c r="H125" i="1"/>
  <c r="H57" i="1"/>
  <c r="C60" i="2"/>
  <c r="B2" i="13"/>
  <c r="F8" i="13"/>
  <c r="G8" i="13"/>
  <c r="L214" i="1"/>
  <c r="L232" i="1"/>
  <c r="D39" i="13"/>
  <c r="F13" i="13"/>
  <c r="G13" i="13"/>
  <c r="L198" i="1"/>
  <c r="E13" i="13" s="1"/>
  <c r="C13" i="13" s="1"/>
  <c r="L216" i="1"/>
  <c r="L234" i="1"/>
  <c r="G16" i="13"/>
  <c r="L201" i="1"/>
  <c r="L219" i="1"/>
  <c r="F5" i="13"/>
  <c r="L191" i="1"/>
  <c r="C12" i="10" s="1"/>
  <c r="L192" i="1"/>
  <c r="L207" i="1"/>
  <c r="L208" i="1"/>
  <c r="L209" i="1"/>
  <c r="L225" i="1"/>
  <c r="L227" i="1"/>
  <c r="G6" i="13"/>
  <c r="L194" i="1"/>
  <c r="F7" i="13"/>
  <c r="G7" i="13"/>
  <c r="L213" i="1"/>
  <c r="G14" i="13"/>
  <c r="L217" i="1"/>
  <c r="F15" i="13"/>
  <c r="G15" i="13"/>
  <c r="L200" i="1"/>
  <c r="G639" i="1" s="1"/>
  <c r="L218" i="1"/>
  <c r="L236" i="1"/>
  <c r="F17" i="13"/>
  <c r="G17" i="13"/>
  <c r="L243" i="1"/>
  <c r="D17" i="13"/>
  <c r="C17" i="13" s="1"/>
  <c r="F18" i="13"/>
  <c r="G18" i="13"/>
  <c r="L244" i="1"/>
  <c r="D18" i="13"/>
  <c r="C18" i="13" s="1"/>
  <c r="F19" i="13"/>
  <c r="G19" i="13"/>
  <c r="L245" i="1"/>
  <c r="C24" i="10" s="1"/>
  <c r="G29" i="13"/>
  <c r="L351" i="1"/>
  <c r="G651" i="1" s="1"/>
  <c r="J282" i="1"/>
  <c r="F31" i="13" s="1"/>
  <c r="J301" i="1"/>
  <c r="J320" i="1"/>
  <c r="K282" i="1"/>
  <c r="K301" i="1"/>
  <c r="G31" i="13" s="1"/>
  <c r="K320" i="1"/>
  <c r="L268" i="1"/>
  <c r="L270" i="1"/>
  <c r="L275" i="1"/>
  <c r="E112" i="2" s="1"/>
  <c r="L276" i="1"/>
  <c r="L277" i="1"/>
  <c r="L278" i="1"/>
  <c r="L279" i="1"/>
  <c r="F652" i="1" s="1"/>
  <c r="L280" i="1"/>
  <c r="L289" i="1"/>
  <c r="L290" i="1"/>
  <c r="L292" i="1"/>
  <c r="L293" i="1"/>
  <c r="L294" i="1"/>
  <c r="L295" i="1"/>
  <c r="L296" i="1"/>
  <c r="L297" i="1"/>
  <c r="L299" i="1"/>
  <c r="E117" i="2" s="1"/>
  <c r="L308" i="1"/>
  <c r="L311" i="1"/>
  <c r="L314" i="1"/>
  <c r="L315" i="1"/>
  <c r="E114" i="2" s="1"/>
  <c r="L317" i="1"/>
  <c r="H652" i="1" s="1"/>
  <c r="L318" i="1"/>
  <c r="L325" i="1"/>
  <c r="L326" i="1"/>
  <c r="L327" i="1"/>
  <c r="L252" i="1"/>
  <c r="C32" i="10" s="1"/>
  <c r="L253" i="1"/>
  <c r="L333" i="1"/>
  <c r="E123" i="2" s="1"/>
  <c r="L334" i="1"/>
  <c r="L247" i="1"/>
  <c r="F22" i="13" s="1"/>
  <c r="C22" i="13" s="1"/>
  <c r="L328" i="1"/>
  <c r="E122" i="2" s="1"/>
  <c r="C11" i="13"/>
  <c r="C10" i="13"/>
  <c r="C9" i="13"/>
  <c r="L353" i="1"/>
  <c r="B4" i="12"/>
  <c r="B27" i="12"/>
  <c r="A31" i="12" s="1"/>
  <c r="B31" i="12"/>
  <c r="B18" i="12"/>
  <c r="A22" i="12" s="1"/>
  <c r="B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6" i="1"/>
  <c r="L397" i="1"/>
  <c r="L258" i="1"/>
  <c r="J52" i="1"/>
  <c r="G48" i="2"/>
  <c r="G55" i="2" s="1"/>
  <c r="G96" i="2" s="1"/>
  <c r="G51" i="2"/>
  <c r="G54" i="2" s="1"/>
  <c r="G53" i="2"/>
  <c r="F2" i="11"/>
  <c r="L602" i="1"/>
  <c r="G653" i="1" s="1"/>
  <c r="L601" i="1"/>
  <c r="F653" i="1" s="1"/>
  <c r="I653" i="1" s="1"/>
  <c r="C40" i="10"/>
  <c r="F52" i="1"/>
  <c r="G52" i="1"/>
  <c r="H52" i="1"/>
  <c r="I52" i="1"/>
  <c r="F48" i="2" s="1"/>
  <c r="F55" i="2" s="1"/>
  <c r="C35" i="10"/>
  <c r="F86" i="1"/>
  <c r="C50" i="2" s="1"/>
  <c r="G103" i="1"/>
  <c r="G104" i="1" s="1"/>
  <c r="H71" i="1"/>
  <c r="E49" i="2" s="1"/>
  <c r="H86" i="1"/>
  <c r="I103" i="1"/>
  <c r="I104" i="1"/>
  <c r="I185" i="1" s="1"/>
  <c r="G620" i="1" s="1"/>
  <c r="J620" i="1" s="1"/>
  <c r="J103" i="1"/>
  <c r="J104" i="1" s="1"/>
  <c r="F113" i="1"/>
  <c r="G113" i="1"/>
  <c r="H113" i="1"/>
  <c r="I113" i="1"/>
  <c r="I132" i="1" s="1"/>
  <c r="I128" i="1"/>
  <c r="J113" i="1"/>
  <c r="J128" i="1"/>
  <c r="J132" i="1"/>
  <c r="F139" i="1"/>
  <c r="F154" i="1"/>
  <c r="F161" i="1"/>
  <c r="G139" i="1"/>
  <c r="D77" i="2" s="1"/>
  <c r="D83" i="2" s="1"/>
  <c r="G154" i="1"/>
  <c r="H139" i="1"/>
  <c r="H154" i="1"/>
  <c r="H161" i="1"/>
  <c r="I139" i="1"/>
  <c r="I154" i="1"/>
  <c r="I161" i="1" s="1"/>
  <c r="L242" i="1"/>
  <c r="C105" i="2" s="1"/>
  <c r="L324" i="1"/>
  <c r="C23" i="10"/>
  <c r="L246" i="1"/>
  <c r="C25" i="10"/>
  <c r="L260" i="1"/>
  <c r="C134" i="2" s="1"/>
  <c r="L261" i="1"/>
  <c r="L341" i="1"/>
  <c r="L342" i="1"/>
  <c r="I655" i="1"/>
  <c r="I660" i="1"/>
  <c r="I659" i="1"/>
  <c r="C42" i="10"/>
  <c r="L366" i="1"/>
  <c r="L367" i="1"/>
  <c r="L368" i="1"/>
  <c r="L369" i="1"/>
  <c r="L371" i="1"/>
  <c r="L372" i="1"/>
  <c r="B2" i="10"/>
  <c r="L336" i="1"/>
  <c r="E126" i="2" s="1"/>
  <c r="L337" i="1"/>
  <c r="L338" i="1"/>
  <c r="L339" i="1"/>
  <c r="K343" i="1"/>
  <c r="L511" i="1"/>
  <c r="F539" i="1" s="1"/>
  <c r="L512" i="1"/>
  <c r="L521" i="1"/>
  <c r="H539" i="1" s="1"/>
  <c r="H542" i="1" s="1"/>
  <c r="L523" i="1"/>
  <c r="H541" i="1"/>
  <c r="L526" i="1"/>
  <c r="I539" i="1" s="1"/>
  <c r="L527" i="1"/>
  <c r="I540" i="1"/>
  <c r="L532" i="1"/>
  <c r="J540" i="1"/>
  <c r="L533" i="1"/>
  <c r="J541" i="1" s="1"/>
  <c r="E124" i="2"/>
  <c r="K262" i="1"/>
  <c r="J262" i="1"/>
  <c r="I262" i="1"/>
  <c r="H262" i="1"/>
  <c r="G262" i="1"/>
  <c r="L262" i="1" s="1"/>
  <c r="F262" i="1"/>
  <c r="C124" i="2"/>
  <c r="C123" i="2"/>
  <c r="A1" i="2"/>
  <c r="A2" i="2"/>
  <c r="C9" i="2"/>
  <c r="D9" i="2"/>
  <c r="E9" i="2"/>
  <c r="F9" i="2"/>
  <c r="F19" i="2" s="1"/>
  <c r="I431" i="1"/>
  <c r="J9" i="1" s="1"/>
  <c r="C10" i="2"/>
  <c r="D10" i="2"/>
  <c r="E10" i="2"/>
  <c r="F10" i="2"/>
  <c r="I432" i="1"/>
  <c r="J10" i="1" s="1"/>
  <c r="G10" i="2" s="1"/>
  <c r="C11" i="2"/>
  <c r="C12" i="2"/>
  <c r="C19" i="2" s="1"/>
  <c r="D12" i="2"/>
  <c r="E12" i="2"/>
  <c r="F12" i="2"/>
  <c r="I433" i="1"/>
  <c r="J12" i="1" s="1"/>
  <c r="G12" i="2" s="1"/>
  <c r="C13" i="2"/>
  <c r="D13" i="2"/>
  <c r="F13" i="2"/>
  <c r="I434" i="1"/>
  <c r="J13" i="1"/>
  <c r="G13" i="2"/>
  <c r="C14" i="2"/>
  <c r="D14" i="2"/>
  <c r="F14" i="2"/>
  <c r="I435" i="1"/>
  <c r="J14" i="1" s="1"/>
  <c r="G14" i="2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C23" i="2"/>
  <c r="D23" i="2"/>
  <c r="D32" i="2" s="1"/>
  <c r="E23" i="2"/>
  <c r="E32" i="2" s="1"/>
  <c r="F23" i="2"/>
  <c r="I441" i="1"/>
  <c r="J24" i="1" s="1"/>
  <c r="G23" i="2" s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F32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/>
  <c r="C34" i="2"/>
  <c r="D34" i="2"/>
  <c r="D42" i="2" s="1"/>
  <c r="D43" i="2" s="1"/>
  <c r="E34" i="2"/>
  <c r="F34" i="2"/>
  <c r="C35" i="2"/>
  <c r="C42" i="2" s="1"/>
  <c r="D35" i="2"/>
  <c r="E35" i="2"/>
  <c r="E42" i="2" s="1"/>
  <c r="E43" i="2" s="1"/>
  <c r="F35" i="2"/>
  <c r="C36" i="2"/>
  <c r="D36" i="2"/>
  <c r="E36" i="2"/>
  <c r="F36" i="2"/>
  <c r="I446" i="1"/>
  <c r="J37" i="1" s="1"/>
  <c r="G36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E50" i="2"/>
  <c r="C51" i="2"/>
  <c r="D51" i="2"/>
  <c r="D54" i="2" s="1"/>
  <c r="D55" i="2" s="1"/>
  <c r="E51" i="2"/>
  <c r="F51" i="2"/>
  <c r="D52" i="2"/>
  <c r="D53" i="2"/>
  <c r="F53" i="2"/>
  <c r="F54" i="2" s="1"/>
  <c r="C59" i="2"/>
  <c r="C61" i="2"/>
  <c r="D61" i="2"/>
  <c r="D62" i="2" s="1"/>
  <c r="E61" i="2"/>
  <c r="F61" i="2"/>
  <c r="G61" i="2"/>
  <c r="E62" i="2"/>
  <c r="F62" i="2"/>
  <c r="G62" i="2"/>
  <c r="C64" i="2"/>
  <c r="F64" i="2"/>
  <c r="F70" i="2" s="1"/>
  <c r="C65" i="2"/>
  <c r="F65" i="2"/>
  <c r="C66" i="2"/>
  <c r="E68" i="2"/>
  <c r="F68" i="2"/>
  <c r="C69" i="2"/>
  <c r="F69" i="2"/>
  <c r="G69" i="2"/>
  <c r="G70" i="2" s="1"/>
  <c r="G73" i="2" s="1"/>
  <c r="C71" i="2"/>
  <c r="D71" i="2"/>
  <c r="E71" i="2"/>
  <c r="C72" i="2"/>
  <c r="E72" i="2"/>
  <c r="F73" i="2"/>
  <c r="C77" i="2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 s="1"/>
  <c r="C85" i="2"/>
  <c r="F85" i="2"/>
  <c r="C86" i="2"/>
  <c r="F86" i="2"/>
  <c r="D88" i="2"/>
  <c r="E88" i="2"/>
  <c r="F88" i="2"/>
  <c r="G88" i="2"/>
  <c r="G95" i="2" s="1"/>
  <c r="C89" i="2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D93" i="2"/>
  <c r="E93" i="2"/>
  <c r="F93" i="2"/>
  <c r="C94" i="2"/>
  <c r="D94" i="2"/>
  <c r="E94" i="2"/>
  <c r="F94" i="2"/>
  <c r="F95" i="2"/>
  <c r="E103" i="2"/>
  <c r="E105" i="2"/>
  <c r="E106" i="2"/>
  <c r="D107" i="2"/>
  <c r="F107" i="2"/>
  <c r="G107" i="2"/>
  <c r="E113" i="2"/>
  <c r="C116" i="2"/>
  <c r="C117" i="2"/>
  <c r="F120" i="2"/>
  <c r="G120" i="2"/>
  <c r="D126" i="2"/>
  <c r="F126" i="2"/>
  <c r="K411" i="1"/>
  <c r="K419" i="1"/>
  <c r="K425" i="1"/>
  <c r="K426" i="1"/>
  <c r="G126" i="2" s="1"/>
  <c r="G136" i="2" s="1"/>
  <c r="G137" i="2" s="1"/>
  <c r="L255" i="1"/>
  <c r="C127" i="2" s="1"/>
  <c r="E127" i="2"/>
  <c r="L256" i="1"/>
  <c r="C128" i="2" s="1"/>
  <c r="L257" i="1"/>
  <c r="C129" i="2" s="1"/>
  <c r="E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G490" i="1"/>
  <c r="C153" i="2"/>
  <c r="H490" i="1"/>
  <c r="D153" i="2"/>
  <c r="I490" i="1"/>
  <c r="E153" i="2" s="1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F155" i="2"/>
  <c r="G155" i="2"/>
  <c r="F493" i="1"/>
  <c r="B156" i="2"/>
  <c r="G156" i="2" s="1"/>
  <c r="G493" i="1"/>
  <c r="C156" i="2" s="1"/>
  <c r="H493" i="1"/>
  <c r="D156" i="2"/>
  <c r="I493" i="1"/>
  <c r="E156" i="2" s="1"/>
  <c r="J493" i="1"/>
  <c r="F156" i="2" s="1"/>
  <c r="F19" i="1"/>
  <c r="G607" i="1" s="1"/>
  <c r="G19" i="1"/>
  <c r="H19" i="1"/>
  <c r="G609" i="1" s="1"/>
  <c r="J609" i="1" s="1"/>
  <c r="I19" i="1"/>
  <c r="G33" i="1"/>
  <c r="H33" i="1"/>
  <c r="I33" i="1"/>
  <c r="H43" i="1"/>
  <c r="H44" i="1" s="1"/>
  <c r="H609" i="1" s="1"/>
  <c r="I43" i="1"/>
  <c r="J43" i="1"/>
  <c r="I44" i="1"/>
  <c r="H610" i="1" s="1"/>
  <c r="F169" i="1"/>
  <c r="I169" i="1"/>
  <c r="I184" i="1" s="1"/>
  <c r="F175" i="1"/>
  <c r="G175" i="1"/>
  <c r="H175" i="1"/>
  <c r="H184" i="1" s="1"/>
  <c r="I175" i="1"/>
  <c r="J175" i="1"/>
  <c r="F180" i="1"/>
  <c r="G180" i="1"/>
  <c r="H180" i="1"/>
  <c r="I180" i="1"/>
  <c r="F184" i="1"/>
  <c r="G184" i="1"/>
  <c r="G221" i="1"/>
  <c r="I221" i="1"/>
  <c r="I239" i="1"/>
  <c r="F248" i="1"/>
  <c r="G248" i="1"/>
  <c r="H248" i="1"/>
  <c r="I248" i="1"/>
  <c r="J248" i="1"/>
  <c r="K248" i="1"/>
  <c r="I282" i="1"/>
  <c r="I330" i="1" s="1"/>
  <c r="G301" i="1"/>
  <c r="F329" i="1"/>
  <c r="L329" i="1" s="1"/>
  <c r="G329" i="1"/>
  <c r="H329" i="1"/>
  <c r="I329" i="1"/>
  <c r="J329" i="1"/>
  <c r="K329" i="1"/>
  <c r="J330" i="1"/>
  <c r="J344" i="1" s="1"/>
  <c r="I344" i="1"/>
  <c r="F354" i="1"/>
  <c r="G354" i="1"/>
  <c r="I354" i="1"/>
  <c r="K354" i="1"/>
  <c r="I360" i="1"/>
  <c r="G361" i="1"/>
  <c r="H361" i="1"/>
  <c r="L373" i="1"/>
  <c r="F374" i="1"/>
  <c r="G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I393" i="1"/>
  <c r="I400" i="1" s="1"/>
  <c r="F399" i="1"/>
  <c r="G399" i="1"/>
  <c r="I399" i="1"/>
  <c r="G400" i="1"/>
  <c r="H635" i="1" s="1"/>
  <c r="L405" i="1"/>
  <c r="L411" i="1" s="1"/>
  <c r="L406" i="1"/>
  <c r="L407" i="1"/>
  <c r="L408" i="1"/>
  <c r="L409" i="1"/>
  <c r="L410" i="1"/>
  <c r="F411" i="1"/>
  <c r="F426" i="1" s="1"/>
  <c r="G411" i="1"/>
  <c r="H411" i="1"/>
  <c r="H426" i="1" s="1"/>
  <c r="I411" i="1"/>
  <c r="J411" i="1"/>
  <c r="L413" i="1"/>
  <c r="L419" i="1" s="1"/>
  <c r="L414" i="1"/>
  <c r="L415" i="1"/>
  <c r="L416" i="1"/>
  <c r="L417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 s="1"/>
  <c r="H425" i="1"/>
  <c r="I425" i="1"/>
  <c r="J425" i="1"/>
  <c r="J426" i="1" s="1"/>
  <c r="I426" i="1"/>
  <c r="F438" i="1"/>
  <c r="G438" i="1"/>
  <c r="H438" i="1"/>
  <c r="G631" i="1" s="1"/>
  <c r="J631" i="1" s="1"/>
  <c r="F444" i="1"/>
  <c r="F451" i="1" s="1"/>
  <c r="H629" i="1" s="1"/>
  <c r="G444" i="1"/>
  <c r="H444" i="1"/>
  <c r="F450" i="1"/>
  <c r="G450" i="1"/>
  <c r="G451" i="1" s="1"/>
  <c r="H630" i="1" s="1"/>
  <c r="H450" i="1"/>
  <c r="I450" i="1"/>
  <c r="H451" i="1"/>
  <c r="H631" i="1" s="1"/>
  <c r="F460" i="1"/>
  <c r="F466" i="1" s="1"/>
  <c r="H612" i="1" s="1"/>
  <c r="G460" i="1"/>
  <c r="H460" i="1"/>
  <c r="I460" i="1"/>
  <c r="I466" i="1" s="1"/>
  <c r="H615" i="1" s="1"/>
  <c r="J615" i="1" s="1"/>
  <c r="J460" i="1"/>
  <c r="J466" i="1" s="1"/>
  <c r="H616" i="1" s="1"/>
  <c r="F464" i="1"/>
  <c r="G464" i="1"/>
  <c r="G466" i="1" s="1"/>
  <c r="H613" i="1" s="1"/>
  <c r="H464" i="1"/>
  <c r="I464" i="1"/>
  <c r="J464" i="1"/>
  <c r="H466" i="1"/>
  <c r="H614" i="1" s="1"/>
  <c r="J614" i="1" s="1"/>
  <c r="K485" i="1"/>
  <c r="K486" i="1"/>
  <c r="K487" i="1"/>
  <c r="K488" i="1"/>
  <c r="K489" i="1"/>
  <c r="K491" i="1"/>
  <c r="K492" i="1"/>
  <c r="F507" i="1"/>
  <c r="G507" i="1"/>
  <c r="H507" i="1"/>
  <c r="I507" i="1"/>
  <c r="G514" i="1"/>
  <c r="G535" i="1" s="1"/>
  <c r="I514" i="1"/>
  <c r="K514" i="1"/>
  <c r="G519" i="1"/>
  <c r="J519" i="1"/>
  <c r="K519" i="1"/>
  <c r="K535" i="1" s="1"/>
  <c r="F524" i="1"/>
  <c r="G524" i="1"/>
  <c r="H524" i="1"/>
  <c r="I524" i="1"/>
  <c r="J524" i="1"/>
  <c r="K524" i="1"/>
  <c r="L524" i="1"/>
  <c r="F529" i="1"/>
  <c r="G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G550" i="1"/>
  <c r="H550" i="1"/>
  <c r="I550" i="1"/>
  <c r="J550" i="1"/>
  <c r="J561" i="1" s="1"/>
  <c r="K550" i="1"/>
  <c r="K561" i="1" s="1"/>
  <c r="L552" i="1"/>
  <c r="L554" i="1"/>
  <c r="G555" i="1"/>
  <c r="G561" i="1" s="1"/>
  <c r="H555" i="1"/>
  <c r="J555" i="1"/>
  <c r="K555" i="1"/>
  <c r="L558" i="1"/>
  <c r="L559" i="1"/>
  <c r="G560" i="1"/>
  <c r="H560" i="1"/>
  <c r="I560" i="1"/>
  <c r="J560" i="1"/>
  <c r="H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5" i="1"/>
  <c r="K586" i="1"/>
  <c r="K587" i="1"/>
  <c r="K592" i="1"/>
  <c r="K593" i="1"/>
  <c r="H595" i="1"/>
  <c r="J595" i="1"/>
  <c r="F604" i="1"/>
  <c r="H604" i="1"/>
  <c r="J604" i="1"/>
  <c r="K604" i="1"/>
  <c r="L604" i="1"/>
  <c r="G608" i="1"/>
  <c r="G610" i="1"/>
  <c r="J610" i="1"/>
  <c r="G614" i="1"/>
  <c r="G615" i="1"/>
  <c r="H617" i="1"/>
  <c r="H618" i="1"/>
  <c r="H619" i="1"/>
  <c r="H620" i="1"/>
  <c r="H621" i="1"/>
  <c r="G624" i="1"/>
  <c r="J624" i="1" s="1"/>
  <c r="H625" i="1"/>
  <c r="H626" i="1"/>
  <c r="H627" i="1"/>
  <c r="H628" i="1"/>
  <c r="G629" i="1"/>
  <c r="J629" i="1" s="1"/>
  <c r="G630" i="1"/>
  <c r="J630" i="1" s="1"/>
  <c r="G633" i="1"/>
  <c r="G634" i="1"/>
  <c r="G640" i="1"/>
  <c r="J640" i="1" s="1"/>
  <c r="G641" i="1"/>
  <c r="G642" i="1"/>
  <c r="H642" i="1"/>
  <c r="J642" i="1"/>
  <c r="G643" i="1"/>
  <c r="H643" i="1"/>
  <c r="J643" i="1"/>
  <c r="G644" i="1"/>
  <c r="J644" i="1" s="1"/>
  <c r="H644" i="1"/>
  <c r="G645" i="1"/>
  <c r="J645" i="1" s="1"/>
  <c r="H645" i="1"/>
  <c r="C110" i="2" l="1"/>
  <c r="C113" i="2"/>
  <c r="J639" i="1"/>
  <c r="J607" i="1"/>
  <c r="G42" i="2"/>
  <c r="C32" i="2"/>
  <c r="C43" i="2" s="1"/>
  <c r="F540" i="1"/>
  <c r="F542" i="1" s="1"/>
  <c r="L514" i="1"/>
  <c r="L561" i="1"/>
  <c r="E115" i="2"/>
  <c r="L203" i="1"/>
  <c r="C101" i="2"/>
  <c r="C10" i="10"/>
  <c r="D14" i="13"/>
  <c r="C14" i="13" s="1"/>
  <c r="C20" i="10"/>
  <c r="C115" i="2"/>
  <c r="J633" i="1"/>
  <c r="K588" i="1"/>
  <c r="G637" i="1" s="1"/>
  <c r="J637" i="1" s="1"/>
  <c r="B153" i="2"/>
  <c r="G153" i="2" s="1"/>
  <c r="K490" i="1"/>
  <c r="I444" i="1"/>
  <c r="I451" i="1" s="1"/>
  <c r="H632" i="1" s="1"/>
  <c r="D19" i="2"/>
  <c r="E101" i="2"/>
  <c r="D119" i="2"/>
  <c r="D120" i="2" s="1"/>
  <c r="D29" i="13"/>
  <c r="C29" i="13" s="1"/>
  <c r="L354" i="1"/>
  <c r="F651" i="1"/>
  <c r="I651" i="1" s="1"/>
  <c r="G33" i="13"/>
  <c r="H330" i="1"/>
  <c r="H344" i="1" s="1"/>
  <c r="C39" i="10"/>
  <c r="L426" i="1"/>
  <c r="G628" i="1" s="1"/>
  <c r="J628" i="1" s="1"/>
  <c r="K330" i="1"/>
  <c r="K344" i="1" s="1"/>
  <c r="L534" i="1"/>
  <c r="J539" i="1"/>
  <c r="J542" i="1" s="1"/>
  <c r="G616" i="1"/>
  <c r="J616" i="1" s="1"/>
  <c r="C70" i="2"/>
  <c r="C73" i="2" s="1"/>
  <c r="E19" i="2"/>
  <c r="G330" i="1"/>
  <c r="G344" i="1" s="1"/>
  <c r="F44" i="1"/>
  <c r="H607" i="1" s="1"/>
  <c r="G612" i="1"/>
  <c r="J612" i="1" s="1"/>
  <c r="F137" i="2"/>
  <c r="I561" i="1"/>
  <c r="D137" i="2"/>
  <c r="F96" i="2"/>
  <c r="H132" i="1"/>
  <c r="L400" i="1"/>
  <c r="C130" i="2"/>
  <c r="C133" i="2" s="1"/>
  <c r="E136" i="2"/>
  <c r="E16" i="13"/>
  <c r="C16" i="13" s="1"/>
  <c r="G635" i="1"/>
  <c r="J635" i="1" s="1"/>
  <c r="J184" i="1"/>
  <c r="J185" i="1" s="1"/>
  <c r="C95" i="2"/>
  <c r="G132" i="1"/>
  <c r="G185" i="1" s="1"/>
  <c r="G618" i="1" s="1"/>
  <c r="J618" i="1" s="1"/>
  <c r="I652" i="1"/>
  <c r="K595" i="1"/>
  <c r="G638" i="1" s="1"/>
  <c r="L248" i="1"/>
  <c r="G44" i="1"/>
  <c r="H608" i="1" s="1"/>
  <c r="J608" i="1" s="1"/>
  <c r="G613" i="1"/>
  <c r="J613" i="1" s="1"/>
  <c r="F122" i="2"/>
  <c r="F136" i="2" s="1"/>
  <c r="L374" i="1"/>
  <c r="G626" i="1" s="1"/>
  <c r="J626" i="1" s="1"/>
  <c r="C112" i="2"/>
  <c r="C17" i="10"/>
  <c r="E8" i="13"/>
  <c r="G249" i="1"/>
  <c r="G263" i="1" s="1"/>
  <c r="H249" i="1"/>
  <c r="H263" i="1" s="1"/>
  <c r="I249" i="1"/>
  <c r="I263" i="1" s="1"/>
  <c r="E102" i="2"/>
  <c r="L282" i="1"/>
  <c r="H535" i="1"/>
  <c r="C49" i="2"/>
  <c r="F42" i="2"/>
  <c r="F43" i="2" s="1"/>
  <c r="J19" i="1"/>
  <c r="G611" i="1" s="1"/>
  <c r="G9" i="2"/>
  <c r="G19" i="2" s="1"/>
  <c r="F555" i="1"/>
  <c r="F561" i="1" s="1"/>
  <c r="K493" i="1"/>
  <c r="I438" i="1"/>
  <c r="G632" i="1" s="1"/>
  <c r="J632" i="1" s="1"/>
  <c r="F361" i="1"/>
  <c r="F301" i="1"/>
  <c r="E116" i="2"/>
  <c r="C104" i="2"/>
  <c r="E53" i="2"/>
  <c r="E54" i="2" s="1"/>
  <c r="E55" i="2" s="1"/>
  <c r="E96" i="2" s="1"/>
  <c r="L528" i="1"/>
  <c r="F128" i="1"/>
  <c r="F132" i="1" s="1"/>
  <c r="F185" i="1" s="1"/>
  <c r="G617" i="1" s="1"/>
  <c r="J617" i="1" s="1"/>
  <c r="L195" i="1"/>
  <c r="L226" i="1"/>
  <c r="C102" i="2" s="1"/>
  <c r="J588" i="1"/>
  <c r="H641" i="1" s="1"/>
  <c r="J641" i="1" s="1"/>
  <c r="F560" i="1"/>
  <c r="H399" i="1"/>
  <c r="H400" i="1" s="1"/>
  <c r="H634" i="1" s="1"/>
  <c r="J634" i="1" s="1"/>
  <c r="C103" i="2"/>
  <c r="C58" i="2"/>
  <c r="C62" i="2" s="1"/>
  <c r="C53" i="2"/>
  <c r="C29" i="10"/>
  <c r="C21" i="10"/>
  <c r="F29" i="13"/>
  <c r="H637" i="1"/>
  <c r="K203" i="1"/>
  <c r="K249" i="1" s="1"/>
  <c r="K263" i="1" s="1"/>
  <c r="C122" i="2"/>
  <c r="E69" i="2"/>
  <c r="E70" i="2" s="1"/>
  <c r="E73" i="2" s="1"/>
  <c r="C26" i="10"/>
  <c r="C36" i="10"/>
  <c r="D19" i="13"/>
  <c r="C19" i="13" s="1"/>
  <c r="D15" i="13"/>
  <c r="C15" i="13" s="1"/>
  <c r="C38" i="12"/>
  <c r="C37" i="12" s="1"/>
  <c r="C40" i="12" s="1"/>
  <c r="G604" i="1"/>
  <c r="H588" i="1"/>
  <c r="H639" i="1" s="1"/>
  <c r="F282" i="1"/>
  <c r="J239" i="1"/>
  <c r="J249" i="1" s="1"/>
  <c r="D69" i="2"/>
  <c r="D70" i="2" s="1"/>
  <c r="D73" i="2" s="1"/>
  <c r="D96" i="2" s="1"/>
  <c r="L517" i="1"/>
  <c r="G540" i="1" s="1"/>
  <c r="C19" i="10"/>
  <c r="G161" i="1"/>
  <c r="F33" i="13"/>
  <c r="L312" i="1"/>
  <c r="E111" i="2" s="1"/>
  <c r="E120" i="2" s="1"/>
  <c r="L230" i="1"/>
  <c r="C15" i="10" s="1"/>
  <c r="H374" i="1"/>
  <c r="C114" i="2"/>
  <c r="J23" i="1"/>
  <c r="B36" i="12"/>
  <c r="L215" i="1"/>
  <c r="L221" i="1" s="1"/>
  <c r="G650" i="1" s="1"/>
  <c r="G654" i="1" s="1"/>
  <c r="L516" i="1"/>
  <c r="L309" i="1"/>
  <c r="E104" i="2" s="1"/>
  <c r="C12" i="12"/>
  <c r="C10" i="12" s="1"/>
  <c r="C13" i="12" s="1"/>
  <c r="G239" i="1"/>
  <c r="L343" i="1"/>
  <c r="I595" i="1"/>
  <c r="F320" i="1"/>
  <c r="F203" i="1"/>
  <c r="F249" i="1" s="1"/>
  <c r="F263" i="1" s="1"/>
  <c r="C106" i="2"/>
  <c r="H104" i="1"/>
  <c r="B9" i="12"/>
  <c r="H25" i="13"/>
  <c r="J263" i="1" l="1"/>
  <c r="H638" i="1"/>
  <c r="G662" i="1"/>
  <c r="C5" i="10" s="1"/>
  <c r="G657" i="1"/>
  <c r="G636" i="1"/>
  <c r="J636" i="1" s="1"/>
  <c r="G621" i="1"/>
  <c r="J621" i="1" s="1"/>
  <c r="D6" i="13"/>
  <c r="C6" i="13" s="1"/>
  <c r="C54" i="2"/>
  <c r="C55" i="2" s="1"/>
  <c r="C96" i="2" s="1"/>
  <c r="C107" i="2"/>
  <c r="F650" i="1"/>
  <c r="C11" i="10"/>
  <c r="L239" i="1"/>
  <c r="H650" i="1" s="1"/>
  <c r="H654" i="1" s="1"/>
  <c r="D12" i="13"/>
  <c r="C12" i="13" s="1"/>
  <c r="D5" i="13"/>
  <c r="C18" i="10"/>
  <c r="C136" i="2"/>
  <c r="J638" i="1"/>
  <c r="H33" i="13"/>
  <c r="C25" i="13"/>
  <c r="A40" i="12"/>
  <c r="F330" i="1"/>
  <c r="F344" i="1" s="1"/>
  <c r="D7" i="13"/>
  <c r="C7" i="13" s="1"/>
  <c r="C16" i="10"/>
  <c r="C111" i="2"/>
  <c r="E33" i="13"/>
  <c r="D35" i="13" s="1"/>
  <c r="C8" i="13"/>
  <c r="L519" i="1"/>
  <c r="G539" i="1"/>
  <c r="L535" i="1"/>
  <c r="C13" i="10"/>
  <c r="K540" i="1"/>
  <c r="H185" i="1"/>
  <c r="G619" i="1" s="1"/>
  <c r="J619" i="1" s="1"/>
  <c r="E107" i="2"/>
  <c r="E137" i="2" s="1"/>
  <c r="C120" i="2"/>
  <c r="G627" i="1"/>
  <c r="J627" i="1" s="1"/>
  <c r="H636" i="1"/>
  <c r="G625" i="1"/>
  <c r="J625" i="1" s="1"/>
  <c r="C27" i="10"/>
  <c r="L320" i="1"/>
  <c r="L330" i="1" s="1"/>
  <c r="L344" i="1" s="1"/>
  <c r="G623" i="1" s="1"/>
  <c r="J623" i="1" s="1"/>
  <c r="A13" i="12"/>
  <c r="G22" i="2"/>
  <c r="G32" i="2" s="1"/>
  <c r="G43" i="2" s="1"/>
  <c r="J33" i="1"/>
  <c r="J44" i="1" s="1"/>
  <c r="H611" i="1" s="1"/>
  <c r="C38" i="10"/>
  <c r="L529" i="1"/>
  <c r="I541" i="1"/>
  <c r="J611" i="1"/>
  <c r="C5" i="13" l="1"/>
  <c r="C137" i="2"/>
  <c r="K541" i="1"/>
  <c r="I542" i="1"/>
  <c r="D38" i="10"/>
  <c r="C41" i="10"/>
  <c r="H662" i="1"/>
  <c r="C6" i="10" s="1"/>
  <c r="H657" i="1"/>
  <c r="G542" i="1"/>
  <c r="K539" i="1"/>
  <c r="L249" i="1"/>
  <c r="L263" i="1" s="1"/>
  <c r="G622" i="1" s="1"/>
  <c r="J622" i="1" s="1"/>
  <c r="D31" i="13"/>
  <c r="C31" i="13" s="1"/>
  <c r="F654" i="1"/>
  <c r="I650" i="1"/>
  <c r="I654" i="1" s="1"/>
  <c r="D13" i="10"/>
  <c r="C28" i="10"/>
  <c r="D16" i="10" s="1"/>
  <c r="H646" i="1" l="1"/>
  <c r="D22" i="10"/>
  <c r="C30" i="10"/>
  <c r="D25" i="10"/>
  <c r="D23" i="10"/>
  <c r="D24" i="10"/>
  <c r="D12" i="10"/>
  <c r="D15" i="10"/>
  <c r="D26" i="10"/>
  <c r="D20" i="10"/>
  <c r="D17" i="10"/>
  <c r="D10" i="10"/>
  <c r="D28" i="10" s="1"/>
  <c r="D21" i="10"/>
  <c r="D19" i="10"/>
  <c r="D27" i="10"/>
  <c r="D35" i="10"/>
  <c r="D40" i="10"/>
  <c r="D37" i="10"/>
  <c r="D39" i="10"/>
  <c r="D36" i="10"/>
  <c r="I657" i="1"/>
  <c r="I662" i="1"/>
  <c r="C7" i="10" s="1"/>
  <c r="F662" i="1"/>
  <c r="C4" i="10" s="1"/>
  <c r="F657" i="1"/>
  <c r="D18" i="10"/>
  <c r="D11" i="10"/>
  <c r="D33" i="13"/>
  <c r="D36" i="13" s="1"/>
  <c r="K542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33C8F47-1FB5-45E6-82EA-C2B65C01230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C97C4BA-EA57-4A7A-9AA3-A81EEBD1CD0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86BE167-88A3-410C-A69C-6E659868E9C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91413A2-450A-4D77-8509-EAA484F1894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8EFC3C2-08D3-4CD8-9CC2-C18C0A78BBB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D96D470-9921-4DA2-B416-BB4C5CCEEC9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BFBA701-8B8B-4C09-A9C7-D2C1F1ECB51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B9FA1F9-4366-40A8-881F-47628EB423A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F2B4642-88E3-4787-A21D-2F5445238EC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9A1AF13-459F-447F-8222-260EE9D4E0B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7D379B5-BFD5-4C86-AF60-5EE427BEC40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550D30E-C2A2-4B49-8D2C-15A45B14C17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<sst xmlns="http://schemas.openxmlformats.org/spreadsheetml/2006/main" count="3875" uniqueCount="908">
  <si>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</si>
  <si>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</si>
  <si>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</si>
  <si>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</si>
  <si>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</si>
  <si>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</si>
  <si>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</si>
  <si>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</si>
  <si>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</si>
  <si>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</si>
  <si>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</si>
  <si>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</si>
  <si>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</si>
  <si>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</si>
  <si>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</si>
  <si>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</si>
  <si>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</si>
  <si>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</si>
  <si>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</si>
  <si>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</si>
  <si>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</si>
  <si>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</si>
  <si>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</si>
  <si>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</si>
  <si>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</si>
  <si>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</si>
  <si>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</si>
  <si>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</si>
  <si>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</si>
  <si>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</si>
  <si>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</si>
  <si>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</si>
  <si>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</si>
  <si>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</si>
  <si>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</si>
  <si>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</si>
  <si>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</si>
  <si>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</si>
  <si>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</si>
  <si>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</si>
  <si>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</si>
  <si>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</si>
  <si>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</si>
  <si>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</si>
  <si>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</si>
  <si>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</si>
  <si>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</si>
  <si>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</si>
  <si>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</si>
  <si>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</si>
  <si>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</si>
  <si>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</si>
  <si>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</si>
  <si>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</si>
  <si>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</si>
  <si>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</si>
  <si>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</si>
  <si>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</si>
  <si>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</si>
  <si>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</si>
  <si>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</si>
  <si>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</si>
  <si>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</si>
  <si>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</si>
  <si>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</si>
  <si>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</si>
  <si>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</si>
  <si>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</si>
  <si>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</si>
  <si>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</si>
  <si>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</si>
  <si>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</si>
  <si>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</si>
  <si>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</si>
  <si>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</si>
  <si>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</si>
  <si>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</si>
  <si>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</si>
  <si>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</si>
  <si>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</si>
  <si>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</si>
  <si>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</si>
  <si>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</si>
  <si>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</si>
  <si>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</si>
  <si>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</si>
  <si>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</si>
  <si>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</si>
  <si>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</si>
  <si>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</si>
  <si>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</si>
  <si>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</si>
  <si>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</si>
  <si>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</si>
  <si>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</si>
  <si>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</si>
  <si>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</si>
  <si>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</si>
  <si>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</si>
  <si>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</si>
  <si>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</si>
  <si>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</si>
  <si>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</si>
  <si>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</si>
  <si>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</si>
  <si>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</si>
  <si>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</si>
  <si>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</si>
  <si>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</si>
  <si>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</si>
  <si>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</si>
  <si>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</si>
  <si>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</si>
  <si>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</si>
  <si>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</si>
  <si>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</si>
  <si>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</si>
  <si>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</si>
  <si>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</si>
  <si>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</si>
  <si>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</si>
  <si>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</si>
  <si>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</si>
  <si>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</si>
  <si>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</si>
  <si>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</si>
  <si>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</si>
  <si>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</si>
  <si>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</si>
  <si>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</si>
  <si>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</si>
  <si>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</si>
  <si>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</si>
  <si>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</si>
  <si>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</si>
  <si>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</si>
  <si>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</si>
  <si>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</si>
  <si>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</si>
  <si>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</si>
  <si>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</si>
  <si>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</si>
  <si>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</si>
  <si>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</si>
  <si>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</si>
  <si>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</si>
  <si>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</si>
  <si>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</si>
  <si>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</si>
  <si>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</si>
  <si>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</si>
  <si>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</si>
  <si>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</si>
  <si>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</si>
  <si>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</si>
  <si>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</si>
  <si>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</si>
  <si>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</si>
  <si>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</si>
  <si>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</si>
  <si>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</si>
  <si>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</si>
  <si>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</si>
  <si>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</si>
  <si>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</si>
  <si>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</si>
  <si>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</si>
  <si>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</si>
  <si>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</si>
  <si>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</si>
  <si>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</si>
  <si>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</si>
  <si>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</si>
  <si>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</si>
  <si>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</si>
  <si>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</si>
  <si>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</si>
  <si>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</si>
  <si>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</si>
  <si>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</si>
  <si>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</si>
  <si>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</si>
  <si>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</si>
  <si>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</si>
  <si>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</si>
  <si>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</si>
  <si>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</si>
  <si>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</si>
  <si>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</si>
  <si>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</si>
  <si>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</si>
  <si>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</si>
  <si>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</si>
  <si>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</si>
  <si>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</si>
  <si>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</si>
  <si>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</si>
  <si>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</si>
  <si>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</si>
  <si>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</si>
  <si>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</si>
  <si>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</si>
  <si>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</si>
  <si>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</si>
  <si>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</si>
  <si>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</si>
  <si>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</si>
  <si>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</si>
  <si>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</si>
  <si>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</si>
  <si>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</si>
  <si>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</si>
  <si>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</si>
  <si>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</si>
  <si>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</si>
  <si>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</si>
  <si>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</si>
  <si>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</si>
  <si>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</si>
  <si>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</si>
  <si>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</si>
  <si>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</si>
  <si>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</si>
  <si>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</si>
  <si>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</si>
  <si>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</si>
  <si>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</si>
  <si>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</si>
  <si>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</si>
  <si>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</si>
  <si>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</si>
  <si>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</si>
  <si>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</si>
  <si>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</si>
  <si>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</si>
  <si>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</si>
  <si>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</si>
  <si>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</si>
  <si>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</si>
  <si>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</si>
  <si>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</si>
  <si>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</si>
  <si>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</si>
  <si>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</si>
  <si>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</si>
  <si>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</si>
  <si>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</si>
  <si>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</si>
  <si>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</si>
  <si>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</si>
  <si>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</si>
  <si>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</si>
  <si>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</si>
  <si>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</si>
  <si>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</si>
  <si>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</si>
  <si>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</si>
  <si>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</si>
  <si>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</si>
  <si>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</si>
  <si>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</si>
  <si>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</si>
  <si>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</si>
  <si>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</si>
  <si>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</si>
  <si>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</si>
  <si>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</si>
  <si>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</si>
  <si>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</si>
  <si>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</si>
  <si>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</si>
  <si>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</si>
  <si>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</si>
  <si>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</si>
  <si>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</si>
  <si>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</si>
  <si>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</si>
  <si>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</si>
  <si>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</si>
  <si>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</si>
  <si>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</si>
  <si>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</si>
  <si>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</si>
  <si>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</si>
  <si>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</si>
  <si>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</si>
  <si>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</si>
  <si>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</si>
  <si>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</si>
  <si>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</si>
  <si>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</si>
  <si>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</si>
  <si>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</si>
  <si>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</si>
  <si>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</si>
  <si>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</si>
  <si>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</si>
  <si>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</si>
  <si>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</si>
  <si>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</si>
  <si>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</si>
  <si>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</si>
  <si>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</si>
  <si>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</si>
  <si>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</si>
  <si>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</si>
  <si>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</si>
  <si>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</si>
  <si>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</si>
  <si>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</si>
  <si>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</si>
  <si>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</si>
  <si>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</si>
  <si>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</si>
  <si>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</si>
  <si>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</si>
  <si>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</si>
  <si>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</si>
  <si>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</si>
  <si>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</si>
  <si>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</si>
  <si>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</si>
  <si>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</si>
  <si>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</si>
  <si>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</si>
  <si>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</si>
  <si>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</si>
  <si>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</si>
  <si>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</si>
  <si>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</si>
  <si>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</si>
  <si>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</si>
  <si>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</si>
  <si>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</si>
  <si>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</si>
  <si>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</si>
  <si>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</si>
  <si>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</si>
  <si>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</si>
  <si>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</si>
  <si>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</si>
  <si>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</si>
  <si>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</si>
  <si>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</si>
  <si>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</si>
  <si>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</si>
  <si>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</si>
  <si>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</si>
  <si>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</si>
  <si>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</si>
  <si>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</si>
  <si>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</si>
  <si>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</si>
  <si>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</si>
  <si>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</si>
  <si>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</si>
  <si>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</si>
  <si>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</si>
  <si>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</si>
  <si>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</si>
  <si>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</si>
  <si>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</si>
  <si>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</si>
  <si>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</si>
  <si>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</si>
  <si>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</si>
  <si>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</si>
  <si>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</si>
  <si>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</si>
  <si>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</si>
  <si>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</si>
  <si>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</si>
  <si>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</si>
  <si>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</si>
  <si>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</si>
  <si>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</si>
  <si>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</si>
  <si>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</si>
  <si>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</si>
  <si>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</si>
  <si>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</si>
  <si>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</si>
  <si>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</si>
  <si>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</si>
  <si>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</si>
  <si>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</si>
  <si>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</si>
  <si>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</si>
  <si>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</si>
  <si>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</si>
  <si>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</si>
  <si>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</si>
  <si>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</si>
  <si>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</si>
  <si>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</si>
  <si>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</si>
  <si>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</si>
  <si>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</si>
  <si>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</si>
  <si>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</si>
  <si>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</si>
  <si>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</si>
  <si>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</si>
  <si>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</si>
  <si>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</si>
  <si>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</si>
  <si>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</si>
  <si>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</si>
  <si>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</si>
  <si>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</si>
  <si>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</si>
  <si>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</si>
  <si>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</si>
  <si>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</si>
  <si>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</si>
  <si>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</si>
  <si>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</si>
  <si>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</si>
  <si>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</si>
  <si>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</si>
  <si>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</si>
  <si>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</si>
  <si>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</si>
  <si>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</si>
  <si>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</si>
  <si>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</si>
  <si>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</si>
  <si>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</si>
  <si>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</si>
  <si>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</si>
  <si>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</si>
  <si>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</si>
  <si>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</si>
  <si>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</si>
  <si>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</si>
  <si>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</si>
  <si>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</si>
  <si>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</si>
  <si>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</si>
  <si>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</si>
  <si>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</si>
  <si>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</si>
  <si>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</si>
  <si>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</si>
  <si>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</si>
  <si>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</si>
  <si>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</si>
  <si>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</si>
  <si>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</si>
  <si>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</si>
  <si>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</si>
  <si>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</si>
  <si>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</si>
  <si>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</si>
  <si>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</si>
  <si>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</si>
  <si>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</si>
  <si>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</si>
  <si>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</si>
  <si>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</si>
  <si>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</si>
  <si>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</si>
  <si>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</si>
  <si>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</si>
  <si>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</si>
  <si>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</si>
  <si>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</si>
  <si>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</si>
  <si>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</si>
  <si>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</si>
  <si>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</si>
  <si>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</si>
  <si>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</si>
  <si>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</si>
  <si>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</si>
  <si>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</si>
  <si>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</si>
  <si>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</si>
  <si>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</si>
  <si>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</si>
  <si>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</si>
  <si>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</si>
  <si>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</si>
  <si>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</si>
  <si>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</si>
  <si>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</si>
  <si>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</si>
  <si>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</si>
  <si>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</si>
  <si>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</si>
  <si>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</si>
  <si>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</si>
  <si>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</si>
  <si>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</si>
  <si>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</si>
  <si>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</si>
  <si>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</si>
  <si>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</si>
  <si>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</si>
  <si>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</si>
  <si>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</si>
  <si>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</si>
  <si>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</si>
  <si>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</si>
  <si>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</si>
  <si>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</si>
  <si>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</si>
  <si>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</si>
  <si>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</si>
  <si>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</si>
  <si>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</si>
  <si>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</si>
  <si>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</si>
  <si>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</si>
  <si>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</si>
  <si>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</si>
  <si>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</si>
  <si>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</si>
  <si>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</si>
  <si>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</si>
  <si>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</si>
  <si>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</si>
  <si>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</si>
  <si>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</si>
  <si>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</si>
  <si>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</si>
  <si>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</si>
  <si>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</si>
  <si>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</si>
  <si>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</si>
  <si>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</si>
  <si>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</si>
  <si>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</si>
  <si>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</si>
  <si>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</si>
  <si>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</si>
  <si>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</si>
  <si>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</si>
  <si>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</si>
  <si>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</si>
  <si>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</si>
  <si>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</si>
  <si>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</si>
  <si>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</si>
  <si>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</si>
  <si>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</si>
  <si>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</si>
  <si>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</si>
  <si>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</si>
  <si>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</si>
  <si>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</si>
  <si>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</si>
  <si>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</si>
  <si>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</si>
  <si>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</si>
  <si>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</si>
  <si>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</si>
  <si>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</si>
  <si>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</si>
  <si>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</si>
  <si>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</si>
  <si>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</si>
  <si>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</si>
  <si>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</si>
  <si>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</si>
  <si>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</si>
  <si>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</si>
  <si>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</si>
  <si>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</si>
  <si>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</si>
  <si>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</si>
  <si>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</si>
  <si>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</si>
  <si>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</si>
  <si>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</si>
  <si>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</si>
  <si>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</si>
  <si>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</si>
  <si>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</si>
  <si>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</si>
  <si>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</si>
  <si>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</si>
  <si>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</si>
  <si>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</si>
  <si>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</si>
  <si>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</si>
  <si>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</si>
  <si>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</si>
  <si>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</si>
  <si>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</si>
  <si>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</si>
  <si>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</si>
  <si>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</si>
  <si>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</si>
  <si>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</si>
  <si>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</si>
  <si>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</si>
  <si>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</si>
  <si>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</si>
  <si>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</si>
  <si>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</si>
  <si>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</si>
  <si>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</si>
  <si>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</si>
  <si>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</si>
  <si>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</si>
  <si>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</si>
  <si>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</si>
  <si>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</si>
  <si>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</si>
  <si>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</si>
  <si>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</si>
  <si>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</si>
  <si>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</si>
  <si>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</si>
  <si>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</si>
  <si>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</si>
  <si>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</si>
  <si>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</si>
  <si>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</si>
  <si>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</si>
  <si>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</si>
  <si>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</si>
  <si>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</si>
  <si>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</si>
  <si>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</si>
  <si>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</si>
  <si>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</si>
  <si>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</si>
  <si>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</si>
  <si>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</si>
  <si>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</si>
  <si>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</si>
  <si>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</si>
  <si>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</si>
  <si>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</si>
  <si>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</si>
  <si>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</si>
  <si>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</si>
  <si>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</si>
  <si>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</si>
  <si>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</si>
  <si>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</si>
  <si>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</si>
  <si>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</si>
  <si>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</si>
  <si>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</si>
  <si>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</si>
  <si>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</si>
  <si>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</si>
  <si>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</si>
  <si>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</si>
  <si>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</si>
  <si>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</si>
  <si>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</si>
  <si>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</si>
  <si>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</si>
  <si>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</si>
  <si>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</si>
  <si>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</si>
  <si>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</si>
  <si>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</si>
  <si>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</si>
  <si>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</si>
  <si>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</si>
  <si>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</si>
  <si>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</si>
  <si>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</si>
  <si>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</si>
  <si>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</si>
  <si>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</si>
  <si>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</si>
  <si>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</si>
  <si>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</si>
  <si>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</si>
  <si>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</si>
  <si>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</si>
  <si>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</si>
  <si>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</si>
  <si>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</si>
  <si>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</si>
  <si>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</si>
  <si>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</si>
  <si>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</si>
  <si>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</si>
  <si>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</si>
  <si>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</si>
  <si>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</si>
  <si>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</si>
  <si>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</si>
  <si>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</si>
  <si>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</si>
  <si>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</si>
  <si>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</si>
  <si>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</si>
  <si>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</si>
  <si>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</si>
  <si>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</si>
  <si>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</si>
  <si>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</si>
  <si>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</si>
  <si>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</si>
  <si>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</si>
  <si>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</si>
  <si>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</si>
  <si>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</si>
  <si>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</si>
  <si>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</si>
  <si>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</si>
  <si>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</si>
  <si>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</si>
  <si>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</si>
  <si>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</si>
  <si>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</si>
  <si>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</si>
  <si>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</si>
  <si>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</si>
  <si>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</si>
  <si>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</si>
  <si>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</si>
  <si>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</si>
  <si>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</si>
  <si>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</si>
  <si>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</si>
  <si>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</si>
  <si>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</si>
  <si>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</si>
  <si>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</si>
  <si>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</si>
  <si>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</si>
  <si>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</si>
  <si>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</si>
  <si>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</si>
  <si>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</si>
  <si>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</si>
  <si>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</si>
  <si>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</si>
  <si>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</si>
  <si>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</si>
  <si>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</si>
  <si>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</si>
  <si>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</si>
  <si>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</si>
  <si>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</si>
  <si>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</si>
  <si>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</si>
  <si>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</si>
  <si>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</si>
  <si>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</si>
  <si>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</si>
  <si>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</si>
  <si>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</si>
  <si>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</si>
  <si>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</si>
  <si>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</si>
  <si>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</si>
  <si>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</si>
  <si>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</si>
  <si>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</si>
  <si>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</si>
  <si>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</si>
  <si>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</si>
  <si>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</si>
  <si>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</si>
  <si>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</si>
  <si>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</si>
  <si>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</si>
  <si>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</si>
  <si>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</si>
  <si>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</si>
  <si>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</si>
  <si>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</si>
  <si>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</si>
  <si>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</si>
  <si>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</si>
  <si>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</si>
  <si>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</si>
  <si>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</si>
  <si>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</si>
  <si>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</si>
  <si>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</si>
  <si>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</si>
  <si>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</si>
  <si>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</si>
  <si>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</si>
  <si>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</si>
  <si>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</si>
  <si>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</si>
  <si>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</si>
  <si>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</si>
  <si>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</si>
  <si>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</si>
  <si>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</si>
  <si>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</si>
  <si>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</si>
  <si>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</si>
  <si>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</si>
  <si>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</si>
  <si>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</si>
  <si>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</si>
  <si>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</si>
  <si>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</si>
  <si>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</si>
  <si>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</si>
  <si>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</si>
  <si>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</si>
  <si>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</si>
  <si>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</si>
  <si>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</si>
  <si>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</si>
  <si>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</si>
  <si>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</si>
  <si>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</si>
  <si>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</si>
  <si>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</si>
  <si>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</si>
  <si>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</si>
  <si>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</si>
  <si>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</si>
  <si>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</si>
  <si>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</si>
  <si>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</si>
  <si>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</si>
  <si>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</si>
  <si>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</si>
  <si>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</si>
  <si>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</si>
  <si>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</si>
  <si>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</si>
  <si>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</si>
  <si>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</si>
  <si>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</si>
  <si>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</si>
  <si>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</si>
  <si>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</si>
  <si>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</si>
  <si>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</si>
  <si>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</si>
  <si>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</si>
  <si>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</si>
  <si>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</si>
  <si>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</si>
  <si>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</si>
  <si>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</si>
  <si>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</si>
  <si>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</si>
  <si>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</si>
  <si>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</si>
  <si>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</si>
  <si>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</si>
  <si>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</si>
  <si>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</si>
  <si>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</si>
  <si>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</si>
  <si>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</si>
  <si>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</si>
  <si>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</si>
  <si>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</si>
  <si>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</si>
  <si>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</si>
  <si>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</si>
  <si>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</si>
  <si>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</si>
  <si>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</si>
  <si>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</si>
  <si>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</si>
  <si>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</si>
  <si>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</si>
  <si>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</si>
  <si>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</si>
  <si>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</si>
  <si>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</si>
  <si>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</si>
  <si>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</si>
  <si>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</si>
  <si>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</si>
  <si>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</si>
  <si>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</si>
  <si>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</si>
  <si>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</si>
  <si>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</si>
  <si>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</si>
  <si>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</si>
  <si>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</si>
  <si>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</si>
  <si>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</si>
  <si>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</si>
  <si>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</si>
  <si>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</si>
  <si>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</si>
  <si>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</si>
  <si>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</si>
  <si>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</si>
  <si>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</si>
  <si>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Reversed OPEB GASB45 entry - only need footnote = $ 384,232.00</t>
  </si>
  <si>
    <t>MAA O'CONNOR</t>
  </si>
  <si>
    <t>MARCHESI</t>
  </si>
  <si>
    <t>SCHOLARSHIP FUNDS</t>
  </si>
  <si>
    <t>PHILIPS</t>
  </si>
  <si>
    <t>01/98</t>
  </si>
  <si>
    <t>01/08</t>
  </si>
  <si>
    <t>01/92</t>
  </si>
  <si>
    <t>01/00</t>
  </si>
  <si>
    <t>01/13</t>
  </si>
  <si>
    <t>01/28</t>
  </si>
  <si>
    <t>01/12</t>
  </si>
  <si>
    <t>01/20</t>
  </si>
  <si>
    <t>Milford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</si>
</sst>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674-FA98-4FC0-9798-512F50727A8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907</v>
      </c>
      <c r="B2" s="21">
        <v>357</v>
      </c>
      <c r="C2" s="21">
        <v>357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990345.5</v>
      </c>
      <c r="G9" s="18">
        <f>420</f>
        <v>420</v>
      </c>
      <c r="H9" s="18"/>
      <c r="I9" s="18">
        <v>171805.47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63.93</v>
      </c>
      <c r="G10" s="18"/>
      <c r="H10" s="18"/>
      <c r="I10" s="18"/>
      <c r="J10" s="67">
        <f>SUM(I432)</f>
        <v>2450980.71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263193.03000000003</v>
      </c>
      <c r="G12" s="18">
        <f>78862.39</f>
        <v>78862.39</v>
      </c>
      <c r="H12" s="18">
        <f>6097.29</f>
        <v>6097.29</v>
      </c>
      <c r="I12" s="18">
        <f>34376.45</f>
        <v>34376.449999999997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116310.87</v>
      </c>
      <c r="G13" s="18">
        <f>18037.41</f>
        <v>18037.41</v>
      </c>
      <c r="H13" s="18">
        <f>418476.03</f>
        <v>418476.03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32752.720000000001</v>
      </c>
      <c r="G14" s="18"/>
      <c r="H14" s="18">
        <f>4158.02</f>
        <v>4158.0200000000004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2336.6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8">
        <v>1000</v>
      </c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1405002.6500000001</v>
      </c>
      <c r="G19" s="41">
        <f>SUM(G9:G18)</f>
        <v>97319.8</v>
      </c>
      <c r="H19" s="41">
        <f>SUM(H9:H18)</f>
        <v>429731.34</v>
      </c>
      <c r="I19" s="41">
        <f>SUM(I9:I18)</f>
        <v>206181.91999999998</v>
      </c>
      <c r="J19" s="41">
        <f>SUM(J9:J18)</f>
        <v>2450980.71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382529.16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120698.81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73932.429999999993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4461.04-1012.73-23.1</f>
        <v>3425.21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f>14649</f>
        <v>14649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198056.44999999998</v>
      </c>
      <c r="G33" s="41">
        <f>SUM(G23:G32)</f>
        <v>0</v>
      </c>
      <c r="H33" s="41">
        <f>SUM(H23:H32)</f>
        <v>397178.16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137844.26999999999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77000</v>
      </c>
      <c r="G41" s="18">
        <f>97319.8</f>
        <v>97319.8</v>
      </c>
      <c r="H41" s="18">
        <f>-9610.66+1058.95+77909.07-36804.18</f>
        <v>32553.180000000015</v>
      </c>
      <c r="I41" s="18">
        <v>206181.92</v>
      </c>
      <c r="J41" s="13">
        <f>SUM(I449)</f>
        <v>2450980.71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871390.24+120711.69</f>
        <v>992101.92999999993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1206946.2</v>
      </c>
      <c r="G43" s="41">
        <f>SUM(G35:G42)</f>
        <v>97319.8</v>
      </c>
      <c r="H43" s="41">
        <f>SUM(H35:H42)</f>
        <v>32553.180000000015</v>
      </c>
      <c r="I43" s="41">
        <f>SUM(I35:I42)</f>
        <v>206181.92</v>
      </c>
      <c r="J43" s="41">
        <f>SUM(J35:J42)</f>
        <v>2450980.71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1405002.65</v>
      </c>
      <c r="G44" s="41">
        <f>G43+G33</f>
        <v>97319.8</v>
      </c>
      <c r="H44" s="41">
        <f>H43+H33</f>
        <v>429731.33999999997</v>
      </c>
      <c r="I44" s="41">
        <f>I43+I33</f>
        <v>206181.92</v>
      </c>
      <c r="J44" s="41">
        <f>J43+J33</f>
        <v>2450980.71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18356991</f>
        <v>18356991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18356991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31859.27+4330</f>
        <v>36189.270000000004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f>8570</f>
        <v>8570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f>69480</f>
        <v>69480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935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525445.52</f>
        <v>525445.52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167560.68</f>
        <v>167560.68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f>50763.46</f>
        <v>50763.46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f>19365.6</f>
        <v>19365.599999999999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788528.92999999993</v>
      </c>
      <c r="G71" s="45" t="s">
        <v>312</v>
      </c>
      <c r="H71" s="41">
        <f>SUM(H55:H70)</f>
        <v>89780.6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7389.31</f>
        <v>7389.31</v>
      </c>
      <c r="G88" s="18"/>
      <c r="H88" s="18"/>
      <c r="I88" s="18">
        <v>422.47</v>
      </c>
      <c r="J88" s="18">
        <f>68326.75-16473.16</f>
        <v>51853.59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157918.65+106870.6+75183.4+10603.35+2098.31+2478.45+29735.99+45343.66+104730.88</f>
        <v>534963.29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f>8773.69</f>
        <v>8773.69</v>
      </c>
      <c r="G93" s="18">
        <v>100</v>
      </c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30000.2</f>
        <v>30000.2</v>
      </c>
      <c r="I94" s="18">
        <v>7501</v>
      </c>
      <c r="J94" s="18">
        <v>14845.68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f>13710.95</f>
        <v>13710.95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11412.97</f>
        <v>11412.97</v>
      </c>
      <c r="G102" s="18"/>
      <c r="H102" s="18">
        <f>10752.6+6156.41</f>
        <v>16909.010000000002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41286.92</v>
      </c>
      <c r="G103" s="41">
        <f>SUM(G88:G102)</f>
        <v>535063.29</v>
      </c>
      <c r="H103" s="41">
        <f>SUM(H88:H102)</f>
        <v>46909.210000000006</v>
      </c>
      <c r="I103" s="41">
        <f>SUM(I88:I102)</f>
        <v>7923.47</v>
      </c>
      <c r="J103" s="41">
        <f>SUM(J88:J102)</f>
        <v>66699.26999999999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19186806.850000001</v>
      </c>
      <c r="G104" s="41">
        <f>G52+G103</f>
        <v>535063.29</v>
      </c>
      <c r="H104" s="41">
        <f>H52+H71+H86+H103</f>
        <v>136689.81</v>
      </c>
      <c r="I104" s="41">
        <f>I52+I103</f>
        <v>7923.47</v>
      </c>
      <c r="J104" s="41">
        <f>J52+J103</f>
        <v>66699.26999999999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5924653.34</f>
        <v>5924653.3399999999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f>3321482</f>
        <v>3321482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f>2273105.66</f>
        <v>2273105.66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11519241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f>366534.04</f>
        <v>366534.04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f>274517.98</f>
        <v>274517.98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f>234600</f>
        <v>234600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f>124041.74</f>
        <v>124041.74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f>193357.58</f>
        <v>193357.58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f>2184.48</f>
        <v>2184.48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8043.39+1066.17</f>
        <v>9109.5600000000013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f>25800</f>
        <v>25800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f>2530+11447.97</f>
        <v>13977.97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1195235.82</v>
      </c>
      <c r="G128" s="41">
        <f>SUM(G115:G127)</f>
        <v>9109.5600000000013</v>
      </c>
      <c r="H128" s="41">
        <f>SUM(H115:H127)</f>
        <v>39777.97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12714476.82</v>
      </c>
      <c r="G132" s="41">
        <f>G113+SUM(G128:G129)</f>
        <v>9109.5600000000013</v>
      </c>
      <c r="H132" s="41">
        <f>H113+SUM(H128:H131)</f>
        <v>39777.97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407128.32000000001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172464.65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106164.02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208407.89+38237.84</f>
        <v>246645.73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609729.22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323544.53</f>
        <v>323544.53000000003</v>
      </c>
      <c r="G152" s="24" t="s">
        <v>312</v>
      </c>
      <c r="H152" s="18">
        <v>1517.55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f>36303.37</f>
        <v>36303.370000000003</v>
      </c>
      <c r="H153" s="18">
        <f>47.26+19325.37</f>
        <v>19372.629999999997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323544.53000000003</v>
      </c>
      <c r="G154" s="41">
        <f>SUM(G142:G153)</f>
        <v>282949.10000000003</v>
      </c>
      <c r="H154" s="41">
        <f>SUM(H142:H153)</f>
        <v>1316376.3899999999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323544.53000000003</v>
      </c>
      <c r="G161" s="41">
        <f>G139+G154+SUM(G155:G160)</f>
        <v>282949.10000000003</v>
      </c>
      <c r="H161" s="41">
        <f>H139+H154+SUM(H155:H160)</f>
        <v>1316376.3899999999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f>35000</f>
        <v>35000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35000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f>250</f>
        <v>250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35250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32260078.200000003</v>
      </c>
      <c r="G185" s="47">
        <f>G104+G132+G161+G184</f>
        <v>827121.95000000019</v>
      </c>
      <c r="H185" s="47">
        <f>H104+H132+H161+H184</f>
        <v>1492844.17</v>
      </c>
      <c r="I185" s="47">
        <f>I104+I132+I161+I184</f>
        <v>7923.47</v>
      </c>
      <c r="J185" s="47">
        <f>J104+J132+J184</f>
        <v>66699.26999999999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3663934.13</f>
        <v>3663934.13</v>
      </c>
      <c r="G189" s="18">
        <f>1474977.21+1641.13*0.411-3416.83*0.411-279.06*0.411</f>
        <v>1474132.7036399997</v>
      </c>
      <c r="H189" s="18">
        <f>3455.79-90</f>
        <v>3365.79</v>
      </c>
      <c r="I189" s="18">
        <f>131260.43+3803.53+5052.01+5393.25-11516.03</f>
        <v>133993.19</v>
      </c>
      <c r="J189" s="18">
        <f>44613.05-20753.79</f>
        <v>23859.260000000002</v>
      </c>
      <c r="K189" s="18">
        <f>268</f>
        <v>268</v>
      </c>
      <c r="L189" s="19">
        <f>SUM(F189:K189)</f>
        <v>5299553.0736400001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1049640.49+143269+20177.22+6273.39</f>
        <v>1219360.0999999999</v>
      </c>
      <c r="G190" s="18">
        <f>481030.23</f>
        <v>481030.23</v>
      </c>
      <c r="H190" s="18">
        <f>3180+642.04+42931.21+7839.58+190.8*0.411-((2608.84+169)*0.411)</f>
        <v>53529.556560000005</v>
      </c>
      <c r="I190" s="18">
        <f>5173.14+208.66+41.88+35.28-584.7*0.411</f>
        <v>5218.6482999999998</v>
      </c>
      <c r="J190" s="18">
        <f>162.69</f>
        <v>162.69</v>
      </c>
      <c r="K190" s="18"/>
      <c r="L190" s="19">
        <f>SUM(F190:K190)</f>
        <v>1759301.2248599997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1192+7990.25</f>
        <v>9182.25</v>
      </c>
      <c r="G192" s="18">
        <f>1362.24</f>
        <v>1362.24</v>
      </c>
      <c r="H192" s="18"/>
      <c r="I192" s="18">
        <f>101.3</f>
        <v>101.3</v>
      </c>
      <c r="J192" s="18"/>
      <c r="K192" s="18">
        <f>575</f>
        <v>575</v>
      </c>
      <c r="L192" s="19">
        <f>SUM(F192:K192)</f>
        <v>11220.789999999999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179692.57+105137.56+262194.15+52318.78+30770.24+120508+5142.09</f>
        <v>755763.39</v>
      </c>
      <c r="G194" s="18">
        <f>434.82+75490.04+45453.78+134313.99+53551.23-786*0.411</f>
        <v>308920.81400000001</v>
      </c>
      <c r="H194" s="18">
        <f>7930+607.7+18984.8+2501.6+7.07+354.41+209.82</f>
        <v>30595.399999999998</v>
      </c>
      <c r="I194" s="18">
        <f>1086.33+1701.85+1252.53+471.73+1374.06+1104.71</f>
        <v>6991.21</v>
      </c>
      <c r="J194" s="18">
        <f>898+422.87-898</f>
        <v>422.86999999999989</v>
      </c>
      <c r="K194" s="18"/>
      <c r="L194" s="19">
        <f t="shared" ref="L194:L200" si="0">SUM(F194:K194)</f>
        <v>1102693.6839999999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71551.21</f>
        <v>71551.210000000006</v>
      </c>
      <c r="G195" s="18">
        <f>28537.47</f>
        <v>28537.47</v>
      </c>
      <c r="H195" s="18">
        <f>3305.39+1530+4673.4+2716.55-152.58</f>
        <v>12072.76</v>
      </c>
      <c r="I195" s="18">
        <f>1035.08+13340.66+1068+615.35-2642.09</f>
        <v>13417</v>
      </c>
      <c r="J195" s="18">
        <f>5531.87</f>
        <v>5531.87</v>
      </c>
      <c r="K195" s="18">
        <v>105.63</v>
      </c>
      <c r="L195" s="19">
        <f t="shared" si="0"/>
        <v>131215.94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85611.66+61.65+2055+1568.65+136389.88+117580.29+63054.1+30191.92</f>
        <v>436513.14999999997</v>
      </c>
      <c r="G196" s="18">
        <f>311.63+124280.28+81050.09</f>
        <v>205642</v>
      </c>
      <c r="H196" s="18">
        <f>967.05+11953.19+5877.3+7085.95+4054.47+122.07+181.87+179.09+1452.98+557.65+4358.8+1333.52+362.5*0.411-((19306.61+410.9+54.38)*0.411)</f>
        <v>30146.680710000004</v>
      </c>
      <c r="I196" s="18">
        <f>4392.26+203.3+789.58</f>
        <v>5385.14</v>
      </c>
      <c r="J196" s="18">
        <f>139.33</f>
        <v>139.33000000000001</v>
      </c>
      <c r="K196" s="18">
        <f>2532.11+2003.85+852.85</f>
        <v>5388.81</v>
      </c>
      <c r="L196" s="19">
        <f t="shared" si="0"/>
        <v>683215.11070999992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473708.44</f>
        <v>473708.44</v>
      </c>
      <c r="G197" s="18">
        <f>229890.04-2866.05</f>
        <v>227023.99000000002</v>
      </c>
      <c r="H197" s="18">
        <f>8393.07-62.9</f>
        <v>8330.17</v>
      </c>
      <c r="I197" s="18">
        <f>4393.26-52</f>
        <v>4341.26</v>
      </c>
      <c r="J197" s="18"/>
      <c r="K197" s="18">
        <f>1916</f>
        <v>1916</v>
      </c>
      <c r="L197" s="19">
        <f t="shared" si="0"/>
        <v>715319.8600000001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322325.49+24914.96+62315.31+2928.76</f>
        <v>412484.52</v>
      </c>
      <c r="G199" s="18">
        <f>199431.41</f>
        <v>199431.41</v>
      </c>
      <c r="H199" s="18">
        <f>121768.25+9715.15+19378.85+1008.3+25041.88+9.2+33404.83+2767.22+1655.4+34483.77-20939.79*0.411-3810.25</f>
        <v>236816.34630999999</v>
      </c>
      <c r="I199" s="18">
        <f>202303.11+20096.68+2821.78-671.08*0.411</f>
        <v>224945.75611999998</v>
      </c>
      <c r="J199" s="18">
        <f>73.6</f>
        <v>73.599999999999994</v>
      </c>
      <c r="K199" s="18"/>
      <c r="L199" s="19">
        <f t="shared" si="0"/>
        <v>1073751.6324300002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73631.29+310746.87+597.57*0.411-637.5*0.411</f>
        <v>384361.74876999995</v>
      </c>
      <c r="I200" s="18"/>
      <c r="J200" s="18"/>
      <c r="K200" s="18"/>
      <c r="L200" s="19">
        <f t="shared" si="0"/>
        <v>384361.74876999995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51716.16+265829.13</f>
        <v>317545.29000000004</v>
      </c>
      <c r="G201" s="18">
        <f>23150.01</f>
        <v>23150.01</v>
      </c>
      <c r="H201" s="18">
        <f>22598.45+98.64+(92.82+33)*0.411</f>
        <v>22748.802019999999</v>
      </c>
      <c r="I201" s="18">
        <f>1870.12+41.08+2609.73</f>
        <v>4520.93</v>
      </c>
      <c r="J201" s="18">
        <f>8575.93+8163.75-2308.9*0.411</f>
        <v>15790.722100000001</v>
      </c>
      <c r="K201" s="18"/>
      <c r="L201" s="19">
        <f>SUM(F201:K201)</f>
        <v>383755.75412000006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7360042.4799999995</v>
      </c>
      <c r="G203" s="41">
        <f t="shared" si="1"/>
        <v>2949230.8676400003</v>
      </c>
      <c r="H203" s="41">
        <f t="shared" si="1"/>
        <v>781967.25436999986</v>
      </c>
      <c r="I203" s="41">
        <f t="shared" si="1"/>
        <v>398914.43442000001</v>
      </c>
      <c r="J203" s="41">
        <f t="shared" si="1"/>
        <v>45980.342100000002</v>
      </c>
      <c r="K203" s="41">
        <f t="shared" si="1"/>
        <v>8253.44</v>
      </c>
      <c r="L203" s="41">
        <f t="shared" si="1"/>
        <v>11544388.818529999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2499302.2</f>
        <v>2499302.2000000002</v>
      </c>
      <c r="G207" s="18">
        <f>1054919.64+1641.13*0.253-3416.83*0.253-2310-279.06*0.253</f>
        <v>1052089.78572</v>
      </c>
      <c r="H207" s="18">
        <f>4078.09</f>
        <v>4078.09</v>
      </c>
      <c r="I207" s="18">
        <f>65085.32+933.21</f>
        <v>66018.53</v>
      </c>
      <c r="J207" s="18">
        <f>26665.48-1036.4</f>
        <v>25629.079999999998</v>
      </c>
      <c r="K207" s="18">
        <f>559</f>
        <v>559</v>
      </c>
      <c r="L207" s="19">
        <f>SUM(F207:K207)</f>
        <v>3647676.68572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760597.34+19018.59+18432.33+12420.53+3861.73</f>
        <v>814330.5199999999</v>
      </c>
      <c r="G208" s="18">
        <f>335366.49</f>
        <v>335366.49</v>
      </c>
      <c r="H208" s="18">
        <f>148412.59+555.27+37129.69+545.42+190.8*0.253-((2608.84+169)*0.253)-6202.53</f>
        <v>179785.91887999998</v>
      </c>
      <c r="I208" s="18">
        <f>4783.27+606.94+994.73+20.56+128.45+25.79+21.72-584.7*0.253</f>
        <v>6433.5309000000007</v>
      </c>
      <c r="J208" s="18">
        <f>2823.37+140.7+74.79</f>
        <v>3038.8599999999997</v>
      </c>
      <c r="K208" s="18"/>
      <c r="L208" s="19">
        <f>SUM(F208:K208)</f>
        <v>1338955.3197799998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36428.99+10000</f>
        <v>46428.99</v>
      </c>
      <c r="G210" s="18">
        <f>4659.21</f>
        <v>4659.21</v>
      </c>
      <c r="H210" s="18">
        <f>9775</f>
        <v>9775</v>
      </c>
      <c r="I210" s="18">
        <f>5111.93</f>
        <v>5111.93</v>
      </c>
      <c r="J210" s="18"/>
      <c r="K210" s="18">
        <f>3294</f>
        <v>3294</v>
      </c>
      <c r="L210" s="19">
        <f>SUM(F210:K210)</f>
        <v>69269.13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158368.51+67827.81+69404.34+13849.09+8310.9+1714.03</f>
        <v>319474.68000000011</v>
      </c>
      <c r="G212" s="18">
        <f>67385.13+29031.92+35815.01+3690.32-786*0.253</f>
        <v>135723.522</v>
      </c>
      <c r="H212" s="18">
        <f>8840+360.45+17086.32+2188.9+1.87+93.82+14.47</f>
        <v>28585.83</v>
      </c>
      <c r="I212" s="18">
        <f>803.02+1082.68+1215.69+457.85+363.72+76.19</f>
        <v>3999.15</v>
      </c>
      <c r="J212" s="18"/>
      <c r="K212" s="18"/>
      <c r="L212" s="19">
        <f t="shared" ref="L212:L218" si="2">SUM(F212:K212)</f>
        <v>487783.18200000015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74585.05</f>
        <v>74585.05</v>
      </c>
      <c r="G213" s="18">
        <f>30031.82</f>
        <v>30031.82</v>
      </c>
      <c r="H213" s="18">
        <f>784.07+1359.98+2876.82+1672.23</f>
        <v>6693.1</v>
      </c>
      <c r="I213" s="18">
        <f>279.88+8759.06+657.44+378.79</f>
        <v>10075.17</v>
      </c>
      <c r="J213" s="18">
        <v>2869</v>
      </c>
      <c r="K213" s="18">
        <f>65.02</f>
        <v>65.02</v>
      </c>
      <c r="L213" s="19">
        <f t="shared" si="2"/>
        <v>124319.16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84612.17+37.95+1265+965.62+83957.76+72379.11+54533.27+26111.93</f>
        <v>323862.81</v>
      </c>
      <c r="G214" s="18">
        <f>191.83+76503.43+69329.99</f>
        <v>146025.25</v>
      </c>
      <c r="H214" s="18">
        <f>595.3+7358.05+3617.9+4361.91+2495.82+75.14+111.95+110.25+894.42+343.27+2683.15+1153.31+362.5*0.253-((19306.61+410.9+54.38)*0.253)</f>
        <v>18889.894330000003</v>
      </c>
      <c r="I214" s="18">
        <f>2703.76+125.14+682.88</f>
        <v>3511.78</v>
      </c>
      <c r="J214" s="18">
        <f>85.77</f>
        <v>85.77</v>
      </c>
      <c r="K214" s="18">
        <f>1558.69+1233.51+737.6</f>
        <v>3529.7999999999997</v>
      </c>
      <c r="L214" s="19">
        <f t="shared" si="2"/>
        <v>495905.30433000001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298545.76</f>
        <v>298545.76</v>
      </c>
      <c r="G215" s="18">
        <f>137142.59</f>
        <v>137142.59</v>
      </c>
      <c r="H215" s="18">
        <f>2147.09</f>
        <v>2147.09</v>
      </c>
      <c r="I215" s="18">
        <f>2181.36</f>
        <v>2181.36</v>
      </c>
      <c r="J215" s="18">
        <f>299.99</f>
        <v>299.99</v>
      </c>
      <c r="K215" s="18">
        <f>2375</f>
        <v>2375</v>
      </c>
      <c r="L215" s="19">
        <f t="shared" si="2"/>
        <v>442691.79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189951.61+18280+45720.48+2148.83</f>
        <v>256100.91999999998</v>
      </c>
      <c r="G217" s="18">
        <f>124820.94</f>
        <v>124820.94</v>
      </c>
      <c r="H217" s="18">
        <f>64646.97+7127.97+14218.19+739.78+18373.12+6.75+24508.98+2030.3+1214.57+21227.23-20939.79*0.253-3670.37</f>
        <v>145125.72313000003</v>
      </c>
      <c r="I217" s="18">
        <f>149625.92+14744.84+2070.33+100-671.08*0.253</f>
        <v>166371.30676000001</v>
      </c>
      <c r="J217" s="18">
        <f>2300+54</f>
        <v>2354</v>
      </c>
      <c r="K217" s="18"/>
      <c r="L217" s="19">
        <f t="shared" si="2"/>
        <v>694772.88988999999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25950.38+183118.7+597.57*0.253-637.5*0.253</f>
        <v>209058.97771000001</v>
      </c>
      <c r="I218" s="18"/>
      <c r="J218" s="18"/>
      <c r="K218" s="18"/>
      <c r="L218" s="19">
        <f t="shared" si="2"/>
        <v>209058.97771000001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31835.01+110745.81</f>
        <v>142580.82</v>
      </c>
      <c r="G219" s="18">
        <f>14250.49</f>
        <v>14250.49</v>
      </c>
      <c r="H219" s="18">
        <f>13910.97+60.72+(92.82+33)*0.253</f>
        <v>14003.522459999998</v>
      </c>
      <c r="I219" s="18">
        <f>1151.19+25.29+1606.48</f>
        <v>2782.96</v>
      </c>
      <c r="J219" s="18">
        <f>5279.1+5025.38-2308.9*0.253</f>
        <v>9720.3282999999992</v>
      </c>
      <c r="K219" s="18"/>
      <c r="L219" s="19">
        <f>SUM(F219:K219)</f>
        <v>183338.12075999999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4775211.7500000009</v>
      </c>
      <c r="G221" s="41">
        <f>SUM(G207:G220)</f>
        <v>1980110.0977200002</v>
      </c>
      <c r="H221" s="41">
        <f>SUM(H207:H220)</f>
        <v>618143.14650999999</v>
      </c>
      <c r="I221" s="41">
        <f>SUM(I207:I220)</f>
        <v>266485.71766000002</v>
      </c>
      <c r="J221" s="41">
        <f>SUM(J207:J220)</f>
        <v>43997.028299999998</v>
      </c>
      <c r="K221" s="41">
        <f t="shared" si="3"/>
        <v>9822.82</v>
      </c>
      <c r="L221" s="41">
        <f t="shared" si="3"/>
        <v>7693770.5601900006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3018849.11</f>
        <v>3018849.11</v>
      </c>
      <c r="G225" s="18">
        <f>1293361.19+1641.13*0.336-3416.83*0.336-279.06*0.336</f>
        <v>1292670.79064</v>
      </c>
      <c r="H225" s="18">
        <f>19788.14+143.5-229</f>
        <v>19702.64</v>
      </c>
      <c r="I225" s="18">
        <f>128070.56+714.63+558.88-1932.12</f>
        <v>127411.95000000001</v>
      </c>
      <c r="J225" s="18">
        <f>33683.36-3593.95</f>
        <v>30089.41</v>
      </c>
      <c r="K225" s="18">
        <f>1460</f>
        <v>1460</v>
      </c>
      <c r="L225" s="19">
        <f>SUM(F225:K225)</f>
        <v>4490183.9006399997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570888.03+92855.46+89993.14+16495.25+5128.61</f>
        <v>775360.49</v>
      </c>
      <c r="G226" s="18">
        <f>308641.92</f>
        <v>308641.91999999998</v>
      </c>
      <c r="H226" s="18">
        <f>300775.68+537.92+35969.39+2662.96+4470.62+190.8*0.336-((2608.84+169)*0.336)-4206.27</f>
        <v>339341.05455999996</v>
      </c>
      <c r="I226" s="18">
        <f>1586.87+2963.32+4856.65+100.4+170.58+34.25+28.85-584.7*0.336</f>
        <v>9544.4608000000007</v>
      </c>
      <c r="J226" s="18">
        <f>136.3+365.17</f>
        <v>501.47</v>
      </c>
      <c r="K226" s="18"/>
      <c r="L226" s="19">
        <f>SUM(F226:K226)</f>
        <v>1433389.3953599997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631878</f>
        <v>631878</v>
      </c>
      <c r="G227" s="18">
        <f>271525.13</f>
        <v>271525.13</v>
      </c>
      <c r="H227" s="18">
        <f>21960.88+2114.89+910.71-3029.74</f>
        <v>21956.739999999998</v>
      </c>
      <c r="I227" s="18">
        <f>58220.09+445-897.18</f>
        <v>57767.909999999996</v>
      </c>
      <c r="J227" s="18">
        <f>31355.59</f>
        <v>31355.59</v>
      </c>
      <c r="K227" s="18">
        <f>1419</f>
        <v>1419</v>
      </c>
      <c r="L227" s="19">
        <f>SUM(F227:K227)</f>
        <v>1015902.37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136721+11775</f>
        <v>148496</v>
      </c>
      <c r="G228" s="18">
        <f>13420.27</f>
        <v>13420.27</v>
      </c>
      <c r="H228" s="18">
        <f>38346.8+65</f>
        <v>38411.800000000003</v>
      </c>
      <c r="I228" s="18">
        <f>23236.12</f>
        <v>23236.12</v>
      </c>
      <c r="J228" s="18"/>
      <c r="K228" s="18">
        <f>6785</f>
        <v>6785</v>
      </c>
      <c r="L228" s="19">
        <f>SUM(F228:K228)</f>
        <v>230349.19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23650.1+395924.83+66605.96+53981.15+10771.51+5430.04+9696.05</f>
        <v>566059.64000000013</v>
      </c>
      <c r="G230" s="18">
        <f>10586.63+168108.46+9291.67+28108.38+4796.65-786*0.336</f>
        <v>220627.69400000002</v>
      </c>
      <c r="H230" s="18">
        <f>2080.14+130.58+2120+11390.88+1563.5+1.46+72.97+16.88</f>
        <v>17376.41</v>
      </c>
      <c r="I230" s="18">
        <f>2677.23+2111.36+1215.69+457.85+282.9+88.89</f>
        <v>6833.920000000001</v>
      </c>
      <c r="J230" s="18">
        <f>299.92+322.64</f>
        <v>622.55999999999995</v>
      </c>
      <c r="K230" s="18">
        <f>300</f>
        <v>300</v>
      </c>
      <c r="L230" s="19">
        <f t="shared" ref="L230:L236" si="4">SUM(F230:K230)</f>
        <v>811820.22400000028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98349.6</f>
        <v>98349.6</v>
      </c>
      <c r="G231" s="18">
        <f>31918.7</f>
        <v>31918.7</v>
      </c>
      <c r="H231" s="18">
        <f>4496.92+1762.55+3820.6+2220.83</f>
        <v>12300.9</v>
      </c>
      <c r="I231" s="18">
        <f>2146.46+32974.29+873.12+503.06-369.62</f>
        <v>36127.31</v>
      </c>
      <c r="J231" s="18">
        <f>3975.4</f>
        <v>3975.4</v>
      </c>
      <c r="K231" s="18">
        <f>86.35</f>
        <v>86.35</v>
      </c>
      <c r="L231" s="19">
        <f t="shared" si="4"/>
        <v>182758.26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90458.52+50.4+1680+1282.4+111501.22+96124.03+52829.11+25295.94+88113.04+32932.9</f>
        <v>500267.55999999994</v>
      </c>
      <c r="G232" s="18">
        <f>254.77+101601.39+122145</f>
        <v>224001.16</v>
      </c>
      <c r="H232" s="18">
        <f>790.58+9771.95+4804.8+5792.89+3314.61+99.79+148.68+146.41+1187.84+455.89+3563.4+1117.27+534.4+362.5*0.336-((19306.61+410.9+54.38)*0.336)</f>
        <v>25206.954960000003</v>
      </c>
      <c r="I232" s="18">
        <f>3590.75+166.2+661.55</f>
        <v>4418.5</v>
      </c>
      <c r="J232" s="18">
        <f>113.9</f>
        <v>113.9</v>
      </c>
      <c r="K232" s="18">
        <f>2070.04+1638.18+714.55</f>
        <v>4422.7700000000004</v>
      </c>
      <c r="L232" s="19">
        <f t="shared" si="4"/>
        <v>758430.84496000002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375142.99</f>
        <v>375142.99</v>
      </c>
      <c r="G233" s="18">
        <f>185785.25-46.76</f>
        <v>185738.49</v>
      </c>
      <c r="H233" s="18">
        <f>7899.1+3000-150.61</f>
        <v>10748.49</v>
      </c>
      <c r="I233" s="18">
        <f>6413.26</f>
        <v>6413.26</v>
      </c>
      <c r="J233" s="18"/>
      <c r="K233" s="18">
        <f>17341.3-275</f>
        <v>17066.3</v>
      </c>
      <c r="L233" s="19">
        <f t="shared" si="4"/>
        <v>595109.53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198045.15+24508.74+61299.3+2881.01</f>
        <v>286734.2</v>
      </c>
      <c r="G235" s="18">
        <f>135602.11</f>
        <v>135602.10999999999</v>
      </c>
      <c r="H235" s="18">
        <f>107786.17+9556.76+19062.89+991.86+24633.59+9.05+32860.19+2722.11+1628.41+28191.11-20939.79*0.336-1290.19</f>
        <v>219116.18055999995</v>
      </c>
      <c r="I235" s="18">
        <f>214522.17+19769.01+2775.78-671.08*0.336</f>
        <v>236841.47712000003</v>
      </c>
      <c r="J235" s="18">
        <f>11770.69+72.4</f>
        <v>11843.09</v>
      </c>
      <c r="K235" s="18"/>
      <c r="L235" s="19">
        <f t="shared" si="4"/>
        <v>890137.05767999997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164318.72+61039.57+597.57*0.336-637.5*0.336-742.01</f>
        <v>224602.86351999998</v>
      </c>
      <c r="I236" s="18"/>
      <c r="J236" s="18"/>
      <c r="K236" s="18"/>
      <c r="L236" s="19">
        <f t="shared" si="4"/>
        <v>224602.86351999998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f>42278.91+150480.06</f>
        <v>192758.97</v>
      </c>
      <c r="G237" s="18">
        <f>18925.56</f>
        <v>18925.560000000001</v>
      </c>
      <c r="H237" s="18">
        <f>18474.64+80.64+(92.82+33)*0.336</f>
        <v>18597.555519999998</v>
      </c>
      <c r="I237" s="18">
        <f>1528.86+33.58+2133.5</f>
        <v>3695.9399999999996</v>
      </c>
      <c r="J237" s="18">
        <f>7010.98+6674.02-2308.9*0.336</f>
        <v>12909.2096</v>
      </c>
      <c r="K237" s="18"/>
      <c r="L237" s="19">
        <f>SUM(F237:K237)</f>
        <v>246887.23512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6593896.5599999996</v>
      </c>
      <c r="G239" s="41">
        <f t="shared" si="5"/>
        <v>2703071.8246400002</v>
      </c>
      <c r="H239" s="41">
        <f t="shared" si="5"/>
        <v>947361.5891199999</v>
      </c>
      <c r="I239" s="41">
        <f t="shared" si="5"/>
        <v>512290.84792000003</v>
      </c>
      <c r="J239" s="41">
        <f t="shared" si="5"/>
        <v>91410.629599999986</v>
      </c>
      <c r="K239" s="41">
        <f t="shared" si="5"/>
        <v>31539.42</v>
      </c>
      <c r="L239" s="41">
        <f t="shared" si="5"/>
        <v>10879570.87128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f>220402.9-13124.3</f>
        <v>207278.6</v>
      </c>
      <c r="K247" s="18"/>
      <c r="L247" s="19">
        <f t="shared" si="6"/>
        <v>207278.6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207278.6</v>
      </c>
      <c r="K248" s="41">
        <f t="shared" si="7"/>
        <v>0</v>
      </c>
      <c r="L248" s="41">
        <f>SUM(F248:K248)</f>
        <v>207278.6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18729150.789999999</v>
      </c>
      <c r="G249" s="41">
        <f t="shared" si="8"/>
        <v>7632412.790000001</v>
      </c>
      <c r="H249" s="41">
        <f t="shared" si="8"/>
        <v>2347471.9899999998</v>
      </c>
      <c r="I249" s="41">
        <f t="shared" si="8"/>
        <v>1177691</v>
      </c>
      <c r="J249" s="41">
        <f t="shared" si="8"/>
        <v>388666.6</v>
      </c>
      <c r="K249" s="41">
        <f t="shared" si="8"/>
        <v>49615.68</v>
      </c>
      <c r="L249" s="41">
        <f t="shared" si="8"/>
        <v>30325008.850000001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f>1120302.3</f>
        <v>1120302.3</v>
      </c>
      <c r="L252" s="19">
        <f>SUM(F252:K252)</f>
        <v>1120302.3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594329.66</v>
      </c>
      <c r="L253" s="19">
        <f>SUM(F253:K253)</f>
        <v>594329.66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1714631.96</v>
      </c>
      <c r="L262" s="41">
        <f t="shared" si="9"/>
        <v>1714631.96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18729150.789999999</v>
      </c>
      <c r="G263" s="42">
        <f t="shared" si="11"/>
        <v>7632412.790000001</v>
      </c>
      <c r="H263" s="42">
        <f t="shared" si="11"/>
        <v>2347471.9899999998</v>
      </c>
      <c r="I263" s="42">
        <f t="shared" si="11"/>
        <v>1177691</v>
      </c>
      <c r="J263" s="42">
        <f t="shared" si="11"/>
        <v>388666.6</v>
      </c>
      <c r="K263" s="42">
        <f t="shared" si="11"/>
        <v>1764247.64</v>
      </c>
      <c r="L263" s="42">
        <f t="shared" si="11"/>
        <v>32039640.810000002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40072</f>
        <v>40072</v>
      </c>
      <c r="G268" s="18">
        <f>4048.03</f>
        <v>4048.03</v>
      </c>
      <c r="H268" s="18"/>
      <c r="I268" s="18"/>
      <c r="J268" s="18"/>
      <c r="K268" s="18"/>
      <c r="L268" s="19">
        <f>SUM(F268:K268)</f>
        <v>44120.03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182533.15+50336.2</f>
        <v>232869.34999999998</v>
      </c>
      <c r="G269" s="18">
        <f>79428.83+18631.91</f>
        <v>98060.74</v>
      </c>
      <c r="H269" s="18"/>
      <c r="I269" s="18">
        <f>24667.11+5228.09+1681.13</f>
        <v>31576.33</v>
      </c>
      <c r="J269" s="18">
        <f>3700.47+25205.85</f>
        <v>28906.32</v>
      </c>
      <c r="K269" s="18"/>
      <c r="L269" s="19">
        <f>SUM(F269:K269)</f>
        <v>391412.74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12960+1440</f>
        <v>14400</v>
      </c>
      <c r="G271" s="18">
        <f>1886.59</f>
        <v>1886.59</v>
      </c>
      <c r="H271" s="18"/>
      <c r="I271" s="18">
        <f>6627.36-1440</f>
        <v>5187.3599999999997</v>
      </c>
      <c r="J271" s="18"/>
      <c r="K271" s="18"/>
      <c r="L271" s="19">
        <f>SUM(F271:K271)</f>
        <v>21473.95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267756.82</f>
        <v>267756.82</v>
      </c>
      <c r="G273" s="18">
        <f>63563</f>
        <v>63563</v>
      </c>
      <c r="H273" s="18">
        <f>350+470+8882.5+180.48</f>
        <v>9882.98</v>
      </c>
      <c r="I273" s="18">
        <f>5006.61+474.24</f>
        <v>5480.8499999999995</v>
      </c>
      <c r="J273" s="18"/>
      <c r="K273" s="18"/>
      <c r="L273" s="19">
        <f t="shared" ref="L273:L279" si="12">SUM(F273:K273)</f>
        <v>346683.64999999997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1875+10876.09</f>
        <v>12751.09</v>
      </c>
      <c r="G274" s="18"/>
      <c r="H274" s="18">
        <f>26686.29+15926.25+3436.99</f>
        <v>46049.53</v>
      </c>
      <c r="I274" s="18">
        <f>87.93+1681.66</f>
        <v>1769.5900000000001</v>
      </c>
      <c r="J274" s="18"/>
      <c r="K274" s="18"/>
      <c r="L274" s="19">
        <f t="shared" si="12"/>
        <v>60570.209999999992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77839.01+102.75-9854.18-593.91</f>
        <v>67493.669999999984</v>
      </c>
      <c r="G275" s="18">
        <f>5134.97+9854.18+593.91</f>
        <v>15583.060000000001</v>
      </c>
      <c r="H275" s="18"/>
      <c r="I275" s="18">
        <f>279.47</f>
        <v>279.47000000000003</v>
      </c>
      <c r="J275" s="18"/>
      <c r="K275" s="18"/>
      <c r="L275" s="19">
        <f t="shared" si="12"/>
        <v>83356.199999999983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>
        <f>328.8</f>
        <v>328.8</v>
      </c>
      <c r="J278" s="18"/>
      <c r="K278" s="18"/>
      <c r="L278" s="19">
        <f t="shared" si="12"/>
        <v>328.8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2791.03</v>
      </c>
      <c r="I279" s="18"/>
      <c r="J279" s="18"/>
      <c r="K279" s="18"/>
      <c r="L279" s="19">
        <f t="shared" si="12"/>
        <v>2791.03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635342.92999999993</v>
      </c>
      <c r="G282" s="42">
        <f t="shared" si="13"/>
        <v>183141.41999999998</v>
      </c>
      <c r="H282" s="42">
        <f t="shared" si="13"/>
        <v>58723.539999999994</v>
      </c>
      <c r="I282" s="42">
        <f t="shared" si="13"/>
        <v>44622.400000000009</v>
      </c>
      <c r="J282" s="42">
        <f t="shared" si="13"/>
        <v>28906.32</v>
      </c>
      <c r="K282" s="42">
        <f t="shared" si="13"/>
        <v>0</v>
      </c>
      <c r="L282" s="41">
        <f t="shared" si="13"/>
        <v>950736.61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36484.46+2218.44+5098.12</f>
        <v>43801.020000000004</v>
      </c>
      <c r="G287" s="18">
        <f>3378.58+11671.17-9603.48+390.01</f>
        <v>5836.2800000000007</v>
      </c>
      <c r="H287" s="18">
        <f>1582.41+1467.5+385.41</f>
        <v>3435.3199999999997</v>
      </c>
      <c r="I287" s="18">
        <f>4586.81+2939.8+382.62</f>
        <v>7909.2300000000005</v>
      </c>
      <c r="J287" s="18">
        <f>91.27</f>
        <v>91.27</v>
      </c>
      <c r="K287" s="18">
        <f>71</f>
        <v>71</v>
      </c>
      <c r="L287" s="19">
        <f>SUM(F287:K287)</f>
        <v>61144.12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30985.55</f>
        <v>30985.55</v>
      </c>
      <c r="G288" s="18">
        <f>11469.28</f>
        <v>11469.28</v>
      </c>
      <c r="H288" s="18"/>
      <c r="I288" s="18">
        <f>3218.27+416.14</f>
        <v>3634.41</v>
      </c>
      <c r="J288" s="18">
        <f>15516.01</f>
        <v>15516.01</v>
      </c>
      <c r="K288" s="18"/>
      <c r="L288" s="19">
        <f>SUM(F288:K288)</f>
        <v>61605.250000000007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f>150+5467.82+111.1</f>
        <v>5728.92</v>
      </c>
      <c r="I292" s="18">
        <f>291.93</f>
        <v>291.93</v>
      </c>
      <c r="J292" s="18"/>
      <c r="K292" s="18"/>
      <c r="L292" s="19">
        <f t="shared" ref="L292:L298" si="14">SUM(F292:K292)</f>
        <v>6020.85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6695.01</f>
        <v>6695.01</v>
      </c>
      <c r="G293" s="18"/>
      <c r="H293" s="18">
        <f>4515.5+9803.75+2115.71</f>
        <v>16434.96</v>
      </c>
      <c r="I293" s="18">
        <f>1035.18</f>
        <v>1035.18</v>
      </c>
      <c r="J293" s="18"/>
      <c r="K293" s="18"/>
      <c r="L293" s="19">
        <f t="shared" si="14"/>
        <v>24165.15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f>31374.1+63.25</f>
        <v>31437.35</v>
      </c>
      <c r="G294" s="18">
        <f>9603.48</f>
        <v>9603.48</v>
      </c>
      <c r="H294" s="18"/>
      <c r="I294" s="18">
        <f>172.03</f>
        <v>172.03</v>
      </c>
      <c r="J294" s="18"/>
      <c r="K294" s="18"/>
      <c r="L294" s="19">
        <f t="shared" si="14"/>
        <v>41212.86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>
        <f>600</f>
        <v>600</v>
      </c>
      <c r="I297" s="18">
        <f>202.4</f>
        <v>202.4</v>
      </c>
      <c r="J297" s="18"/>
      <c r="K297" s="18"/>
      <c r="L297" s="19">
        <f t="shared" si="14"/>
        <v>802.4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f>2571.95</f>
        <v>2571.9499999999998</v>
      </c>
      <c r="I298" s="18"/>
      <c r="J298" s="18"/>
      <c r="K298" s="18"/>
      <c r="L298" s="19">
        <f t="shared" si="14"/>
        <v>2571.9499999999998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112918.93</v>
      </c>
      <c r="G301" s="42">
        <f t="shared" si="15"/>
        <v>26909.040000000001</v>
      </c>
      <c r="H301" s="42">
        <f t="shared" si="15"/>
        <v>28771.149999999998</v>
      </c>
      <c r="I301" s="42">
        <f t="shared" si="15"/>
        <v>13245.18</v>
      </c>
      <c r="J301" s="42">
        <f t="shared" si="15"/>
        <v>15607.28</v>
      </c>
      <c r="K301" s="42">
        <f t="shared" si="15"/>
        <v>71</v>
      </c>
      <c r="L301" s="41">
        <f t="shared" si="15"/>
        <v>197522.58000000005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74329</f>
        <v>74329</v>
      </c>
      <c r="G306" s="18">
        <f>9751.53</f>
        <v>9751.5300000000007</v>
      </c>
      <c r="H306" s="18"/>
      <c r="I306" s="18">
        <v>26</v>
      </c>
      <c r="J306" s="18"/>
      <c r="K306" s="18"/>
      <c r="L306" s="19">
        <f>SUM(F306:K306)</f>
        <v>84106.53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41150.76+4334.15</f>
        <v>45484.91</v>
      </c>
      <c r="G307" s="18">
        <f>15231.92</f>
        <v>15231.92</v>
      </c>
      <c r="H307" s="18"/>
      <c r="I307" s="18">
        <f>4274.06</f>
        <v>4274.0600000000004</v>
      </c>
      <c r="J307" s="18">
        <f>20606.24</f>
        <v>20606.240000000002</v>
      </c>
      <c r="K307" s="18"/>
      <c r="L307" s="19">
        <f>SUM(F307:K307)</f>
        <v>85597.13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54853</v>
      </c>
      <c r="G308" s="18">
        <v>17132.189999999999</v>
      </c>
      <c r="H308" s="18">
        <f>1591</f>
        <v>1591</v>
      </c>
      <c r="I308" s="18">
        <f>905.28</f>
        <v>905.28</v>
      </c>
      <c r="J308" s="18">
        <f>32008.56</f>
        <v>32008.560000000001</v>
      </c>
      <c r="K308" s="18"/>
      <c r="L308" s="19">
        <f>SUM(F308:K308)</f>
        <v>106490.03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f>600</f>
        <v>600</v>
      </c>
      <c r="G309" s="18">
        <f>66.26</f>
        <v>66.260000000000005</v>
      </c>
      <c r="H309" s="18">
        <f>455+20951</f>
        <v>21406</v>
      </c>
      <c r="I309" s="18">
        <f>2732.4+247.68</f>
        <v>2980.08</v>
      </c>
      <c r="J309" s="18"/>
      <c r="K309" s="18"/>
      <c r="L309" s="19">
        <f>SUM(F309:K309)</f>
        <v>25052.339999999997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4600+20592.5+7261.61+147.54</f>
        <v>32601.65</v>
      </c>
      <c r="I311" s="18">
        <f>22.5+387.7</f>
        <v>410.2</v>
      </c>
      <c r="J311" s="18"/>
      <c r="K311" s="18"/>
      <c r="L311" s="19">
        <f t="shared" ref="L311:L317" si="16">SUM(F311:K311)</f>
        <v>33011.85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2200+8891.4</f>
        <v>11091.4</v>
      </c>
      <c r="G312" s="18"/>
      <c r="H312" s="18">
        <f>320+2289.71+1774+13020+2809.8</f>
        <v>20213.509999999998</v>
      </c>
      <c r="I312" s="18">
        <f>1374.79</f>
        <v>1374.79</v>
      </c>
      <c r="J312" s="18"/>
      <c r="K312" s="18">
        <v>2966.84</v>
      </c>
      <c r="L312" s="19">
        <f t="shared" si="16"/>
        <v>35646.539999999994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f>84</f>
        <v>84</v>
      </c>
      <c r="G313" s="18"/>
      <c r="H313" s="18"/>
      <c r="I313" s="18">
        <f>228.47</f>
        <v>228.47</v>
      </c>
      <c r="J313" s="18"/>
      <c r="K313" s="18"/>
      <c r="L313" s="19">
        <f t="shared" si="16"/>
        <v>312.47000000000003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>
        <f>268.8</f>
        <v>268.8</v>
      </c>
      <c r="J316" s="18"/>
      <c r="K316" s="18"/>
      <c r="L316" s="19">
        <f t="shared" si="16"/>
        <v>268.8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f>2933.62+2761.44+50</f>
        <v>5745.0599999999995</v>
      </c>
      <c r="I317" s="18">
        <f>4099.46</f>
        <v>4099.46</v>
      </c>
      <c r="J317" s="18"/>
      <c r="K317" s="18"/>
      <c r="L317" s="19">
        <f t="shared" si="16"/>
        <v>9844.52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186442.31</v>
      </c>
      <c r="G320" s="42">
        <f t="shared" si="17"/>
        <v>42181.9</v>
      </c>
      <c r="H320" s="42">
        <f t="shared" si="17"/>
        <v>81557.22</v>
      </c>
      <c r="I320" s="42">
        <f t="shared" si="17"/>
        <v>14567.14</v>
      </c>
      <c r="J320" s="42">
        <f t="shared" si="17"/>
        <v>52614.8</v>
      </c>
      <c r="K320" s="42">
        <f t="shared" si="17"/>
        <v>2966.84</v>
      </c>
      <c r="L320" s="41">
        <f t="shared" si="17"/>
        <v>380330.20999999996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934704.16999999993</v>
      </c>
      <c r="G330" s="41">
        <f t="shared" si="20"/>
        <v>252232.36</v>
      </c>
      <c r="H330" s="41">
        <f t="shared" si="20"/>
        <v>169051.90999999997</v>
      </c>
      <c r="I330" s="41">
        <f t="shared" si="20"/>
        <v>72434.720000000001</v>
      </c>
      <c r="J330" s="41">
        <f t="shared" si="20"/>
        <v>97128.4</v>
      </c>
      <c r="K330" s="41">
        <f t="shared" si="20"/>
        <v>3037.84</v>
      </c>
      <c r="L330" s="41">
        <f t="shared" si="20"/>
        <v>1528589.4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934704.16999999993</v>
      </c>
      <c r="G344" s="41">
        <f>G330</f>
        <v>252232.36</v>
      </c>
      <c r="H344" s="41">
        <f>H330</f>
        <v>169051.90999999997</v>
      </c>
      <c r="I344" s="41">
        <f>I330</f>
        <v>72434.720000000001</v>
      </c>
      <c r="J344" s="41">
        <f>J330</f>
        <v>97128.4</v>
      </c>
      <c r="K344" s="47">
        <f>K330+K343</f>
        <v>3037.84</v>
      </c>
      <c r="L344" s="41">
        <f>L330+L343</f>
        <v>1528589.4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137203.01</f>
        <v>137203.01</v>
      </c>
      <c r="G350" s="18">
        <v>25290.17</v>
      </c>
      <c r="H350" s="18">
        <f>4757.11+240.26+528.53+2780/3</f>
        <v>6452.5666666666666</v>
      </c>
      <c r="I350" s="18">
        <f>12453.09+131272.13+64+414</f>
        <v>144203.22</v>
      </c>
      <c r="J350" s="18">
        <f>360+666.25*2</f>
        <v>1692.5</v>
      </c>
      <c r="K350" s="18"/>
      <c r="L350" s="13">
        <f>SUM(F350:K350)</f>
        <v>314841.46666666667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95383.92</f>
        <v>95383.92</v>
      </c>
      <c r="G351" s="18">
        <v>26548.59</v>
      </c>
      <c r="H351" s="18">
        <f>1317.85+93.52+63.21+2780/3</f>
        <v>2401.2466666666664</v>
      </c>
      <c r="I351" s="18">
        <f>6739.53+93975.47+64</f>
        <v>100779</v>
      </c>
      <c r="J351" s="18">
        <f>1549+666.25</f>
        <v>2215.25</v>
      </c>
      <c r="K351" s="18"/>
      <c r="L351" s="19">
        <f>SUM(F351:K351)</f>
        <v>227328.00666666665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108148.72</f>
        <v>108148.72</v>
      </c>
      <c r="G352" s="18">
        <v>27874.44</v>
      </c>
      <c r="H352" s="18">
        <f>676.13+132.61+2780/3</f>
        <v>1735.4066666666668</v>
      </c>
      <c r="I352" s="18">
        <f>11083.76+113022.6+64</f>
        <v>124170.36</v>
      </c>
      <c r="J352" s="18">
        <f>786.85+666.25</f>
        <v>1453.1</v>
      </c>
      <c r="K352" s="18"/>
      <c r="L352" s="19">
        <f>SUM(F352:K352)</f>
        <v>263382.02666666667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340735.65</v>
      </c>
      <c r="G354" s="47">
        <f t="shared" si="22"/>
        <v>79713.2</v>
      </c>
      <c r="H354" s="47">
        <f t="shared" si="22"/>
        <v>10589.220000000001</v>
      </c>
      <c r="I354" s="47">
        <f t="shared" si="22"/>
        <v>369152.58</v>
      </c>
      <c r="J354" s="47">
        <f t="shared" si="22"/>
        <v>5360.85</v>
      </c>
      <c r="K354" s="47">
        <f t="shared" si="22"/>
        <v>0</v>
      </c>
      <c r="L354" s="47">
        <f t="shared" si="22"/>
        <v>805551.5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131272.13</f>
        <v>131272.13</v>
      </c>
      <c r="G359" s="18">
        <f>93975.47</f>
        <v>93975.47</v>
      </c>
      <c r="H359" s="18">
        <v>113022.6</v>
      </c>
      <c r="I359" s="56">
        <f>SUM(F359:H359)</f>
        <v>338270.2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12453.09+64+414</f>
        <v>12931.09</v>
      </c>
      <c r="G360" s="63">
        <f>6739.53+64</f>
        <v>6803.53</v>
      </c>
      <c r="H360" s="63">
        <f>11083.76+64</f>
        <v>11147.76</v>
      </c>
      <c r="I360" s="56">
        <f>SUM(F360:H360)</f>
        <v>30882.379999999997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144203.22</v>
      </c>
      <c r="G361" s="47">
        <f>SUM(G359:G360)</f>
        <v>100779</v>
      </c>
      <c r="H361" s="47">
        <f>SUM(H359:H360)</f>
        <v>124170.36</v>
      </c>
      <c r="I361" s="47">
        <f>SUM(I359:I360)</f>
        <v>369152.58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10+303+1567.5+154873.59+1269.39</f>
        <v>158023.48000000001</v>
      </c>
      <c r="I370" s="18">
        <v>8196.58</v>
      </c>
      <c r="J370" s="18">
        <v>16218.79</v>
      </c>
      <c r="K370" s="18"/>
      <c r="L370" s="13">
        <f t="shared" si="23"/>
        <v>182438.85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158023.48000000001</v>
      </c>
      <c r="I374" s="41">
        <f t="shared" si="24"/>
        <v>8196.58</v>
      </c>
      <c r="J374" s="47">
        <f t="shared" si="24"/>
        <v>16218.79</v>
      </c>
      <c r="K374" s="47">
        <f t="shared" si="24"/>
        <v>0</v>
      </c>
      <c r="L374" s="47">
        <f t="shared" si="24"/>
        <v>182438.85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31.34-13.15+986.11-63.12+1336.42-500.74+40.48-17.02+65.67-45.19</f>
        <v>1820.8</v>
      </c>
      <c r="I392" s="18">
        <f>11464.01+1270+1855</f>
        <v>14589.01</v>
      </c>
      <c r="J392" s="24" t="s">
        <v>312</v>
      </c>
      <c r="K392" s="24" t="s">
        <v>312</v>
      </c>
      <c r="L392" s="56">
        <f t="shared" si="26"/>
        <v>16409.810000000001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1820.8</v>
      </c>
      <c r="I393" s="47">
        <f>SUM(I387:I392)</f>
        <v>14589.01</v>
      </c>
      <c r="J393" s="45" t="s">
        <v>312</v>
      </c>
      <c r="K393" s="45" t="s">
        <v>312</v>
      </c>
      <c r="L393" s="47">
        <f>SUM(L387:L392)</f>
        <v>16409.810000000001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895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f>37929.32-7127.63</f>
        <v>30801.69</v>
      </c>
      <c r="I395" s="18"/>
      <c r="J395" s="24" t="s">
        <v>312</v>
      </c>
      <c r="K395" s="24" t="s">
        <v>312</v>
      </c>
      <c r="L395" s="56">
        <f>SUM(F395:K395)</f>
        <v>30801.69</v>
      </c>
      <c r="M395" s="8"/>
    </row>
    <row r="396" spans="1:13" s="3" customFormat="1" ht="12" customHeight="1" x14ac:dyDescent="0.15">
      <c r="A396" s="110" t="s">
        <v>896</v>
      </c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>
        <f>7562.35-177.23</f>
        <v>7385.1200000000008</v>
      </c>
      <c r="I396" s="18"/>
      <c r="J396" s="24" t="s">
        <v>312</v>
      </c>
      <c r="K396" s="24" t="s">
        <v>312</v>
      </c>
      <c r="L396" s="56">
        <f>SUM(F396:K396)</f>
        <v>7385.1200000000008</v>
      </c>
      <c r="M396" s="8"/>
    </row>
    <row r="397" spans="1:13" s="3" customFormat="1" ht="12" customHeight="1" x14ac:dyDescent="0.15">
      <c r="A397" s="110" t="s">
        <v>898</v>
      </c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>
        <f>7553.89-3164.23</f>
        <v>4389.66</v>
      </c>
      <c r="I397" s="18">
        <v>256.67</v>
      </c>
      <c r="J397" s="24" t="s">
        <v>312</v>
      </c>
      <c r="K397" s="24" t="s">
        <v>312</v>
      </c>
      <c r="L397" s="56">
        <f>SUM(F397:K397)</f>
        <v>4646.33</v>
      </c>
      <c r="M397" s="8"/>
    </row>
    <row r="398" spans="1:13" s="3" customFormat="1" ht="12" customHeight="1" thickBot="1" x14ac:dyDescent="0.2">
      <c r="A398" s="110" t="s">
        <v>897</v>
      </c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>
        <f>356.19-149.63+3197.67-1342.83+851.34-357.52+550.16-231.06+636.3-267.16+7229.51-3016.65</f>
        <v>7456.3200000000015</v>
      </c>
      <c r="I398" s="18"/>
      <c r="J398" s="24" t="s">
        <v>312</v>
      </c>
      <c r="K398" s="24" t="s">
        <v>312</v>
      </c>
      <c r="L398" s="56">
        <f>SUM(F398:K398)</f>
        <v>7456.3200000000015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50032.79</v>
      </c>
      <c r="I399" s="47">
        <f>SUM(I395:I398)</f>
        <v>256.67</v>
      </c>
      <c r="J399" s="49" t="s">
        <v>312</v>
      </c>
      <c r="K399" s="49" t="s">
        <v>312</v>
      </c>
      <c r="L399" s="47">
        <f>SUM(L395:L398)</f>
        <v>50289.46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51853.590000000004</v>
      </c>
      <c r="I400" s="47">
        <f>I385+I393+I399</f>
        <v>14845.68</v>
      </c>
      <c r="J400" s="24" t="s">
        <v>312</v>
      </c>
      <c r="K400" s="24" t="s">
        <v>312</v>
      </c>
      <c r="L400" s="47">
        <f>L385+L393+L399</f>
        <v>66699.27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f>600+1500</f>
        <v>2100</v>
      </c>
      <c r="I418" s="18"/>
      <c r="J418" s="18"/>
      <c r="K418" s="18"/>
      <c r="L418" s="56">
        <f t="shared" si="29"/>
        <v>2100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2100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2100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895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>
        <f>1220+425.2+580+738.55+1335.15</f>
        <v>4298.8999999999996</v>
      </c>
      <c r="J421" s="18">
        <f>3168.5+484.45</f>
        <v>3652.95</v>
      </c>
      <c r="K421" s="18">
        <v>30000</v>
      </c>
      <c r="L421" s="56">
        <f>SUM(F421:K421)</f>
        <v>37951.85</v>
      </c>
      <c r="M421" s="8"/>
    </row>
    <row r="422" spans="1:21" s="11" customFormat="1" ht="12" customHeight="1" x14ac:dyDescent="0.15">
      <c r="A422" s="110" t="s">
        <v>896</v>
      </c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>
        <v>5000</v>
      </c>
      <c r="L422" s="56">
        <f>SUM(F422:K422)</f>
        <v>5000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 t="s">
        <v>898</v>
      </c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>
        <v>12934</v>
      </c>
      <c r="K423" s="18"/>
      <c r="L423" s="56">
        <f>SUM(F423:K423)</f>
        <v>12934</v>
      </c>
      <c r="M423" s="68"/>
    </row>
    <row r="424" spans="1:21" s="58" customFormat="1" ht="12" customHeight="1" thickBot="1" x14ac:dyDescent="0.2">
      <c r="A424" s="110" t="s">
        <v>897</v>
      </c>
      <c r="B424" s="6">
        <v>17</v>
      </c>
      <c r="C424" s="6">
        <v>18</v>
      </c>
      <c r="D424" s="2" t="s">
        <v>456</v>
      </c>
      <c r="E424" s="6"/>
      <c r="F424" s="18"/>
      <c r="G424" s="18"/>
      <c r="H424" s="18">
        <f>7305-2100</f>
        <v>5205</v>
      </c>
      <c r="I424" s="18"/>
      <c r="J424" s="18"/>
      <c r="K424" s="18"/>
      <c r="L424" s="56">
        <f>SUM(F424:K424)</f>
        <v>5205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5205</v>
      </c>
      <c r="I425" s="47">
        <f t="shared" si="31"/>
        <v>4298.8999999999996</v>
      </c>
      <c r="J425" s="47">
        <f t="shared" si="31"/>
        <v>16586.95</v>
      </c>
      <c r="K425" s="47">
        <f t="shared" si="31"/>
        <v>35000</v>
      </c>
      <c r="L425" s="47">
        <f t="shared" si="31"/>
        <v>61090.85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7305</v>
      </c>
      <c r="I426" s="47">
        <f t="shared" si="32"/>
        <v>4298.8999999999996</v>
      </c>
      <c r="J426" s="47">
        <f t="shared" si="32"/>
        <v>16586.95</v>
      </c>
      <c r="K426" s="47">
        <f t="shared" si="32"/>
        <v>35000</v>
      </c>
      <c r="L426" s="47">
        <f t="shared" si="32"/>
        <v>63190.85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f>1131.9+37219.02+45164.29+1462.59+1232.63+1855</f>
        <v>88065.43</v>
      </c>
      <c r="H432" s="18">
        <f>1385042.7+277582.93+11482.01+109186.23+26799.44+22686.59+26698.37+253411.38+250025.63</f>
        <v>2362915.2799999998</v>
      </c>
      <c r="I432" s="56">
        <f t="shared" si="33"/>
        <v>2450980.71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88065.43</v>
      </c>
      <c r="H438" s="13">
        <f>SUM(H431:H437)</f>
        <v>2362915.2799999998</v>
      </c>
      <c r="I438" s="13">
        <f>SUM(I431:I437)</f>
        <v>2450980.71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88065.43</v>
      </c>
      <c r="H449" s="18">
        <v>2362915.2799999998</v>
      </c>
      <c r="I449" s="56">
        <f>SUM(F449:H449)</f>
        <v>2450980.71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88065.43</v>
      </c>
      <c r="H450" s="83">
        <f>SUM(H446:H449)</f>
        <v>2362915.2799999998</v>
      </c>
      <c r="I450" s="83">
        <f>SUM(I446:I449)</f>
        <v>2450980.71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88065.43</v>
      </c>
      <c r="H451" s="42">
        <f>H444+H450</f>
        <v>2362915.2799999998</v>
      </c>
      <c r="I451" s="42">
        <f>I444+I450</f>
        <v>2450980.71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986508.81</v>
      </c>
      <c r="G455" s="18">
        <v>75749.350000000006</v>
      </c>
      <c r="H455" s="18">
        <f>-9610.66+77909.07</f>
        <v>68298.41</v>
      </c>
      <c r="I455" s="18">
        <v>380697.3</v>
      </c>
      <c r="J455" s="18">
        <v>2447472.29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32260078.2</f>
        <v>32260078.199999999</v>
      </c>
      <c r="G458" s="18">
        <v>827121.95</v>
      </c>
      <c r="H458" s="18">
        <f>95280+1397564.17</f>
        <v>1492844.17</v>
      </c>
      <c r="I458" s="18">
        <v>7923.47</v>
      </c>
      <c r="J458" s="18">
        <v>66699.27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32260078.199999999</v>
      </c>
      <c r="G460" s="53">
        <f>SUM(G458:G459)</f>
        <v>827121.95</v>
      </c>
      <c r="H460" s="53">
        <f>SUM(H458:H459)</f>
        <v>1492844.17</v>
      </c>
      <c r="I460" s="53">
        <f>SUM(I458:I459)</f>
        <v>7923.47</v>
      </c>
      <c r="J460" s="53">
        <f>SUM(J458:J459)</f>
        <v>66699.27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32001522.24+55322.23-17203.66</f>
        <v>32039640.809999999</v>
      </c>
      <c r="G462" s="18">
        <v>805551.5</v>
      </c>
      <c r="H462" s="18">
        <f>94221.05+1434368.35</f>
        <v>1528589.4000000001</v>
      </c>
      <c r="I462" s="18">
        <f>182438.85</f>
        <v>182438.85</v>
      </c>
      <c r="J462" s="18">
        <v>63190.85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32039640.809999999</v>
      </c>
      <c r="G464" s="53">
        <f>SUM(G462:G463)</f>
        <v>805551.5</v>
      </c>
      <c r="H464" s="53">
        <f>SUM(H462:H463)</f>
        <v>1528589.4000000001</v>
      </c>
      <c r="I464" s="53">
        <f>SUM(I462:I463)</f>
        <v>182438.85</v>
      </c>
      <c r="J464" s="53">
        <f>SUM(J462:J463)</f>
        <v>63190.85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1206946.1999999993</v>
      </c>
      <c r="G466" s="53">
        <f>(G455+G460)- G464</f>
        <v>97319.79999999993</v>
      </c>
      <c r="H466" s="53">
        <f>(H455+H460)- H464</f>
        <v>32553.179999999702</v>
      </c>
      <c r="I466" s="53">
        <f>(I455+I460)- I464</f>
        <v>206181.91999999995</v>
      </c>
      <c r="J466" s="53">
        <f>(J455+J460)- J464</f>
        <v>2450980.71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20</v>
      </c>
      <c r="H480" s="154">
        <v>20</v>
      </c>
      <c r="I480" s="154">
        <v>20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899</v>
      </c>
      <c r="G481" s="155" t="s">
        <v>900</v>
      </c>
      <c r="H481" s="155" t="s">
        <v>901</v>
      </c>
      <c r="I481" s="155" t="s">
        <v>902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903</v>
      </c>
      <c r="G482" s="155" t="s">
        <v>904</v>
      </c>
      <c r="H482" s="155" t="s">
        <v>905</v>
      </c>
      <c r="I482" s="155" t="s">
        <v>906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1292240</v>
      </c>
      <c r="G483" s="18">
        <v>4393500</v>
      </c>
      <c r="H483" s="18">
        <v>5150000</v>
      </c>
      <c r="I483" s="18">
        <v>10895000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4.62</v>
      </c>
      <c r="G484" s="18">
        <v>4.43</v>
      </c>
      <c r="H484" s="18">
        <v>6.65</v>
      </c>
      <c r="I484" s="18">
        <v>5.58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335000</v>
      </c>
      <c r="G485" s="18">
        <v>4175000</v>
      </c>
      <c r="H485" s="18">
        <v>765000</v>
      </c>
      <c r="I485" s="18">
        <v>5990000</v>
      </c>
      <c r="J485" s="18"/>
      <c r="K485" s="53">
        <f>SUM(F485:J485)</f>
        <v>11265000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85000</v>
      </c>
      <c r="G487" s="18">
        <v>220000</v>
      </c>
      <c r="H487" s="18">
        <v>255000</v>
      </c>
      <c r="I487" s="18">
        <v>545000</v>
      </c>
      <c r="J487" s="18"/>
      <c r="K487" s="53">
        <f t="shared" si="34"/>
        <v>1105000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250000</v>
      </c>
      <c r="G488" s="205">
        <v>3955000</v>
      </c>
      <c r="H488" s="205">
        <v>510000</v>
      </c>
      <c r="I488" s="205">
        <v>5445000</v>
      </c>
      <c r="J488" s="205"/>
      <c r="K488" s="206">
        <f t="shared" si="34"/>
        <v>10160000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24050</v>
      </c>
      <c r="G489" s="18">
        <v>1654863</v>
      </c>
      <c r="H489" s="18">
        <v>52785</v>
      </c>
      <c r="I489" s="18">
        <v>1688668</v>
      </c>
      <c r="J489" s="18"/>
      <c r="K489" s="53">
        <f t="shared" si="34"/>
        <v>3420366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274050</v>
      </c>
      <c r="G490" s="42">
        <f>SUM(G488:G489)</f>
        <v>5609863</v>
      </c>
      <c r="H490" s="42">
        <f>SUM(H488:H489)</f>
        <v>562785</v>
      </c>
      <c r="I490" s="42">
        <f>SUM(I488:I489)</f>
        <v>7133668</v>
      </c>
      <c r="J490" s="42">
        <f>SUM(J488:J489)</f>
        <v>0</v>
      </c>
      <c r="K490" s="42">
        <f t="shared" si="34"/>
        <v>13580366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85000</v>
      </c>
      <c r="G491" s="205">
        <v>220000</v>
      </c>
      <c r="H491" s="205">
        <v>255000</v>
      </c>
      <c r="I491" s="205">
        <v>545000</v>
      </c>
      <c r="J491" s="205"/>
      <c r="K491" s="206">
        <f t="shared" si="34"/>
        <v>1105000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12100</v>
      </c>
      <c r="G492" s="18">
        <v>179356</v>
      </c>
      <c r="H492" s="18">
        <v>35190</v>
      </c>
      <c r="I492" s="18">
        <v>304776</v>
      </c>
      <c r="J492" s="18"/>
      <c r="K492" s="53">
        <f t="shared" si="34"/>
        <v>531422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97100</v>
      </c>
      <c r="G493" s="42">
        <f>SUM(G491:G492)</f>
        <v>399356</v>
      </c>
      <c r="H493" s="42">
        <f>SUM(H491:H492)</f>
        <v>290190</v>
      </c>
      <c r="I493" s="42">
        <f>SUM(I491:I492)</f>
        <v>849776</v>
      </c>
      <c r="J493" s="42">
        <f>SUM(J491:J492)</f>
        <v>0</v>
      </c>
      <c r="K493" s="42">
        <f t="shared" si="34"/>
        <v>1636422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867290.95</v>
      </c>
      <c r="G497" s="144">
        <v>140464.13</v>
      </c>
      <c r="H497" s="144"/>
      <c r="I497" s="144">
        <f>F497+G497-H497</f>
        <v>1007755.08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1219360.1+232869.35-273332.16</f>
        <v>1178897.2900000003</v>
      </c>
      <c r="G511" s="18">
        <f>481030.23+98060.74-86450.39</f>
        <v>492640.57999999996</v>
      </c>
      <c r="H511" s="18">
        <f>53529.56-7256.29</f>
        <v>46273.27</v>
      </c>
      <c r="I511" s="18">
        <f>5218.65+31576.33-36389.01</f>
        <v>405.97000000000116</v>
      </c>
      <c r="J511" s="18">
        <f>162.69+28906.32-3700.47</f>
        <v>25368.539999999997</v>
      </c>
      <c r="K511" s="18"/>
      <c r="L511" s="88">
        <f>SUM(F511:K511)</f>
        <v>1743585.6500000001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814330.52+30985.55</f>
        <v>845316.07000000007</v>
      </c>
      <c r="G512" s="18">
        <f>335366.49+11469.28</f>
        <v>346835.77</v>
      </c>
      <c r="H512" s="18">
        <f>179785.92</f>
        <v>179785.92</v>
      </c>
      <c r="I512" s="18">
        <f>6433.53+3634.41</f>
        <v>10067.939999999999</v>
      </c>
      <c r="J512" s="18">
        <f>3038.86+15516.01</f>
        <v>18554.87</v>
      </c>
      <c r="K512" s="18"/>
      <c r="L512" s="88">
        <f>SUM(F512:K512)</f>
        <v>1400560.57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775360.49+45484.91</f>
        <v>820845.4</v>
      </c>
      <c r="G513" s="18">
        <f>308641.92+15231.92</f>
        <v>323873.83999999997</v>
      </c>
      <c r="H513" s="18">
        <f>339341.05</f>
        <v>339341.05</v>
      </c>
      <c r="I513" s="18">
        <f>9544.46+4274.06</f>
        <v>13818.52</v>
      </c>
      <c r="J513" s="18">
        <f>501.47+20606.24</f>
        <v>21107.710000000003</v>
      </c>
      <c r="K513" s="18"/>
      <c r="L513" s="88">
        <f>SUM(F513:K513)</f>
        <v>1518986.52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2845058.7600000002</v>
      </c>
      <c r="G514" s="108">
        <f t="shared" ref="G514:L514" si="35">SUM(G511:G513)</f>
        <v>1163350.19</v>
      </c>
      <c r="H514" s="108">
        <f t="shared" si="35"/>
        <v>565400.24</v>
      </c>
      <c r="I514" s="108">
        <f t="shared" si="35"/>
        <v>24292.43</v>
      </c>
      <c r="J514" s="108">
        <f t="shared" si="35"/>
        <v>65031.119999999995</v>
      </c>
      <c r="K514" s="108">
        <f t="shared" si="35"/>
        <v>0</v>
      </c>
      <c r="L514" s="89">
        <f t="shared" si="35"/>
        <v>4663132.74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262194.15+52318.78+30770.24+120508+267756.82</f>
        <v>733547.99</v>
      </c>
      <c r="G516" s="18">
        <f>63563+308920.81*465791.17/7557663.39</f>
        <v>82602.2953617967</v>
      </c>
      <c r="H516" s="18">
        <f>2501.6+7.07+354.41+209.82</f>
        <v>3072.9</v>
      </c>
      <c r="I516" s="18">
        <f>1252.53+471.73+1374.06+1104.71</f>
        <v>4203.03</v>
      </c>
      <c r="J516" s="18"/>
      <c r="K516" s="18"/>
      <c r="L516" s="88">
        <f>SUM(F516:K516)</f>
        <v>823426.21536179679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69404.34+13849.09+8310.9</f>
        <v>91564.329999999987</v>
      </c>
      <c r="G517" s="18">
        <f>135723.52*91564.33/319474.68</f>
        <v>38899.587203723313</v>
      </c>
      <c r="H517" s="18">
        <f>2188.9+1.87+93.82+14.47</f>
        <v>2299.06</v>
      </c>
      <c r="I517" s="18">
        <f>1215.69+457.85+363.72+76.19</f>
        <v>2113.4499999999998</v>
      </c>
      <c r="J517" s="18"/>
      <c r="K517" s="18"/>
      <c r="L517" s="88">
        <f>SUM(F517:K517)</f>
        <v>134876.42720372332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53981.15+10771.51+9696.05+5430.04</f>
        <v>79878.75</v>
      </c>
      <c r="G518" s="18">
        <f>220627.69*79878.75/566059.64</f>
        <v>31133.581776979368</v>
      </c>
      <c r="H518" s="18">
        <f>1563.5+1.46+72.97+16.88</f>
        <v>1654.8100000000002</v>
      </c>
      <c r="I518" s="18">
        <f>1215.69+457.85+282.9+88.89</f>
        <v>2045.3300000000002</v>
      </c>
      <c r="J518" s="18"/>
      <c r="K518" s="18"/>
      <c r="L518" s="88">
        <f>SUM(F518:K518)</f>
        <v>114712.47177697936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904991.07</v>
      </c>
      <c r="G519" s="89">
        <f t="shared" ref="G519:L519" si="36">SUM(G516:G518)</f>
        <v>152635.46434249938</v>
      </c>
      <c r="H519" s="89">
        <f t="shared" si="36"/>
        <v>7026.77</v>
      </c>
      <c r="I519" s="89">
        <f t="shared" si="36"/>
        <v>8361.81</v>
      </c>
      <c r="J519" s="89">
        <f t="shared" si="36"/>
        <v>0</v>
      </c>
      <c r="K519" s="89">
        <f t="shared" si="36"/>
        <v>0</v>
      </c>
      <c r="L519" s="89">
        <f t="shared" si="36"/>
        <v>1073015.1143424995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63054.1+30191.92</f>
        <v>93246.01999999999</v>
      </c>
      <c r="G521" s="18">
        <f>205642*93246.02/436513.15</f>
        <v>43928.339947696877</v>
      </c>
      <c r="H521" s="18">
        <v>1333.52</v>
      </c>
      <c r="I521" s="18">
        <v>789.58</v>
      </c>
      <c r="J521" s="18"/>
      <c r="K521" s="18">
        <v>852.85</v>
      </c>
      <c r="L521" s="88">
        <f>SUM(F521:K521)</f>
        <v>140150.30994769683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54533.27+26111.93</f>
        <v>80645.2</v>
      </c>
      <c r="G522" s="18">
        <f>146025.25*80645.2/323862.81</f>
        <v>36361.802367181335</v>
      </c>
      <c r="H522" s="18">
        <v>1153.31</v>
      </c>
      <c r="I522" s="18">
        <v>682.88</v>
      </c>
      <c r="J522" s="18"/>
      <c r="K522" s="18">
        <v>737.6</v>
      </c>
      <c r="L522" s="88">
        <f>SUM(F522:K522)</f>
        <v>119580.79236718133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52829.11+25295.94</f>
        <v>78125.05</v>
      </c>
      <c r="G523" s="18">
        <f>224001.16*78125.05/500267.56</f>
        <v>34981.484358206239</v>
      </c>
      <c r="H523" s="18">
        <v>1117.27</v>
      </c>
      <c r="I523" s="18">
        <v>661.55</v>
      </c>
      <c r="J523" s="18"/>
      <c r="K523" s="18">
        <v>714.55</v>
      </c>
      <c r="L523" s="88">
        <f>SUM(F523:K523)</f>
        <v>115599.90435820624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252016.26999999996</v>
      </c>
      <c r="G524" s="89">
        <f t="shared" ref="G524:L524" si="37">SUM(G521:G523)</f>
        <v>115271.62667308445</v>
      </c>
      <c r="H524" s="89">
        <f t="shared" si="37"/>
        <v>3604.1</v>
      </c>
      <c r="I524" s="89">
        <f t="shared" si="37"/>
        <v>2134.0100000000002</v>
      </c>
      <c r="J524" s="89">
        <f t="shared" si="37"/>
        <v>0</v>
      </c>
      <c r="K524" s="89">
        <f t="shared" si="37"/>
        <v>2305</v>
      </c>
      <c r="L524" s="89">
        <f t="shared" si="37"/>
        <v>375331.0066730844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8943.7*0.411</f>
        <v>3675.8607000000002</v>
      </c>
      <c r="I526" s="18"/>
      <c r="J526" s="18"/>
      <c r="K526" s="18"/>
      <c r="L526" s="88">
        <f>SUM(F526:K526)</f>
        <v>3675.8607000000002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8943.7*0.253</f>
        <v>2262.7561000000001</v>
      </c>
      <c r="I527" s="18"/>
      <c r="J527" s="18"/>
      <c r="K527" s="18"/>
      <c r="L527" s="88">
        <f>SUM(F527:K527)</f>
        <v>2262.7561000000001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8943.7*0.336</f>
        <v>3005.0832000000005</v>
      </c>
      <c r="I528" s="18"/>
      <c r="J528" s="18"/>
      <c r="K528" s="18"/>
      <c r="L528" s="88">
        <f>SUM(F528:K528)</f>
        <v>3005.0832000000005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8943.7000000000007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8943.7000000000007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73631.29</f>
        <v>73631.289999999994</v>
      </c>
      <c r="I531" s="18"/>
      <c r="J531" s="18"/>
      <c r="K531" s="18"/>
      <c r="L531" s="88">
        <f>SUM(F531:K531)</f>
        <v>73631.289999999994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12307.17</f>
        <v>12307.17</v>
      </c>
      <c r="I532" s="18"/>
      <c r="J532" s="18"/>
      <c r="K532" s="18"/>
      <c r="L532" s="88">
        <f>SUM(F532:K532)</f>
        <v>12307.17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68497.87</f>
        <v>68497.87</v>
      </c>
      <c r="I533" s="18"/>
      <c r="J533" s="18"/>
      <c r="K533" s="18"/>
      <c r="L533" s="88">
        <f>SUM(F533:K533)</f>
        <v>68497.87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154436.32999999999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154436.32999999999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4002066.1</v>
      </c>
      <c r="G535" s="89">
        <f t="shared" ref="G535:L535" si="40">G514+G519+G524+G529+G534</f>
        <v>1431257.2810155838</v>
      </c>
      <c r="H535" s="89">
        <f t="shared" si="40"/>
        <v>739411.1399999999</v>
      </c>
      <c r="I535" s="89">
        <f t="shared" si="40"/>
        <v>34788.25</v>
      </c>
      <c r="J535" s="89">
        <f t="shared" si="40"/>
        <v>65031.119999999995</v>
      </c>
      <c r="K535" s="89">
        <f t="shared" si="40"/>
        <v>2305</v>
      </c>
      <c r="L535" s="89">
        <f t="shared" si="40"/>
        <v>6274858.8910155846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1743585.6500000001</v>
      </c>
      <c r="G539" s="87">
        <f>L516</f>
        <v>823426.21536179679</v>
      </c>
      <c r="H539" s="87">
        <f>L521</f>
        <v>140150.30994769683</v>
      </c>
      <c r="I539" s="87">
        <f>L526</f>
        <v>3675.8607000000002</v>
      </c>
      <c r="J539" s="87">
        <f>L531</f>
        <v>73631.289999999994</v>
      </c>
      <c r="K539" s="87">
        <f>SUM(F539:J539)</f>
        <v>2784469.3260094938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1400560.57</v>
      </c>
      <c r="G540" s="87">
        <f>L517</f>
        <v>134876.42720372332</v>
      </c>
      <c r="H540" s="87">
        <f>L522</f>
        <v>119580.79236718133</v>
      </c>
      <c r="I540" s="87">
        <f>L527</f>
        <v>2262.7561000000001</v>
      </c>
      <c r="J540" s="87">
        <f>L532</f>
        <v>12307.17</v>
      </c>
      <c r="K540" s="87">
        <f>SUM(F540:J540)</f>
        <v>1669587.7156709046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1518986.52</v>
      </c>
      <c r="G541" s="87">
        <f>L518</f>
        <v>114712.47177697936</v>
      </c>
      <c r="H541" s="87">
        <f>L523</f>
        <v>115599.90435820624</v>
      </c>
      <c r="I541" s="87">
        <f>L528</f>
        <v>3005.0832000000005</v>
      </c>
      <c r="J541" s="87">
        <f>L533</f>
        <v>68497.87</v>
      </c>
      <c r="K541" s="87">
        <f>SUM(F541:J541)</f>
        <v>1820801.8493351857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4663132.74</v>
      </c>
      <c r="G542" s="89">
        <f t="shared" si="41"/>
        <v>1073015.1143424995</v>
      </c>
      <c r="H542" s="89">
        <f t="shared" si="41"/>
        <v>375331.0066730844</v>
      </c>
      <c r="I542" s="89">
        <f t="shared" si="41"/>
        <v>8943.7000000000007</v>
      </c>
      <c r="J542" s="89">
        <f t="shared" si="41"/>
        <v>154436.32999999999</v>
      </c>
      <c r="K542" s="89">
        <f t="shared" si="41"/>
        <v>6274858.8910155836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f>199946.28+18737.83+54648.05</f>
        <v>273332.15999999997</v>
      </c>
      <c r="G547" s="18">
        <f>65343.06+2176.01+18931.32</f>
        <v>86450.389999999985</v>
      </c>
      <c r="H547" s="18">
        <f>410.9+2661.13+4184.26</f>
        <v>7256.2900000000009</v>
      </c>
      <c r="I547" s="18">
        <f>3660.33+5737.14+26991.54</f>
        <v>36389.01</v>
      </c>
      <c r="J547" s="18">
        <f>3700.47</f>
        <v>3700.47</v>
      </c>
      <c r="K547" s="18"/>
      <c r="L547" s="88">
        <f>SUM(F547:K547)</f>
        <v>407128.31999999989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273332.15999999997</v>
      </c>
      <c r="G550" s="108">
        <f t="shared" si="42"/>
        <v>86450.389999999985</v>
      </c>
      <c r="H550" s="108">
        <f t="shared" si="42"/>
        <v>7256.2900000000009</v>
      </c>
      <c r="I550" s="108">
        <f t="shared" si="42"/>
        <v>36389.01</v>
      </c>
      <c r="J550" s="108">
        <f t="shared" si="42"/>
        <v>3700.47</v>
      </c>
      <c r="K550" s="108">
        <f t="shared" si="42"/>
        <v>0</v>
      </c>
      <c r="L550" s="89">
        <f t="shared" si="42"/>
        <v>407128.31999999989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20177.22+6273.39</f>
        <v>26450.61</v>
      </c>
      <c r="G552" s="18">
        <f>25233.97*0.411</f>
        <v>10371.16167</v>
      </c>
      <c r="H552" s="18"/>
      <c r="I552" s="18">
        <f>208.66+41.88+35.28</f>
        <v>285.82</v>
      </c>
      <c r="J552" s="18"/>
      <c r="K552" s="18"/>
      <c r="L552" s="88">
        <f>SUM(F552:K552)</f>
        <v>37107.591670000002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12420.53+3861.73</f>
        <v>16282.26</v>
      </c>
      <c r="G553" s="18">
        <f>25233.97*0.253</f>
        <v>6384.1944100000001</v>
      </c>
      <c r="H553" s="18"/>
      <c r="I553" s="18">
        <f>128.45+25.79+21.72</f>
        <v>175.95999999999998</v>
      </c>
      <c r="J553" s="18"/>
      <c r="K553" s="18"/>
      <c r="L553" s="88">
        <f>SUM(F553:K553)</f>
        <v>22842.414409999998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16495.25+5128.61</f>
        <v>21623.86</v>
      </c>
      <c r="G554" s="18">
        <f>25233.97*0.336</f>
        <v>8478.6139200000016</v>
      </c>
      <c r="H554" s="18"/>
      <c r="I554" s="18">
        <f>170.58+34.25+28.85</f>
        <v>233.68</v>
      </c>
      <c r="J554" s="18"/>
      <c r="K554" s="18"/>
      <c r="L554" s="88">
        <f>SUM(F554:K554)</f>
        <v>30336.153920000004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64356.73</v>
      </c>
      <c r="G555" s="89">
        <f t="shared" si="43"/>
        <v>25233.97</v>
      </c>
      <c r="H555" s="89">
        <f t="shared" si="43"/>
        <v>0</v>
      </c>
      <c r="I555" s="89">
        <f t="shared" si="43"/>
        <v>695.46</v>
      </c>
      <c r="J555" s="89">
        <f t="shared" si="43"/>
        <v>0</v>
      </c>
      <c r="K555" s="89">
        <f t="shared" si="43"/>
        <v>0</v>
      </c>
      <c r="L555" s="89">
        <f t="shared" si="43"/>
        <v>90286.16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f>63867+400</f>
        <v>64267</v>
      </c>
      <c r="G557" s="18">
        <f>16683.4</f>
        <v>16683.400000000001</v>
      </c>
      <c r="H557" s="18"/>
      <c r="I557" s="18">
        <f>526.46</f>
        <v>526.46</v>
      </c>
      <c r="J557" s="18"/>
      <c r="K557" s="18">
        <f>268</f>
        <v>268</v>
      </c>
      <c r="L557" s="88">
        <f>SUM(F557:K557)</f>
        <v>81744.86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f>60812+400</f>
        <v>61212</v>
      </c>
      <c r="G558" s="18">
        <f>27451.2</f>
        <v>27451.200000000001</v>
      </c>
      <c r="H558" s="18"/>
      <c r="I558" s="18">
        <f>1007.87+101.47</f>
        <v>1109.3399999999999</v>
      </c>
      <c r="J558" s="18"/>
      <c r="K558" s="18">
        <f>559</f>
        <v>559</v>
      </c>
      <c r="L558" s="88">
        <f>SUM(F558:K558)</f>
        <v>90331.54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125479</v>
      </c>
      <c r="G560" s="194">
        <f t="shared" ref="G560:L560" si="44">SUM(G557:G559)</f>
        <v>44134.600000000006</v>
      </c>
      <c r="H560" s="194">
        <f t="shared" si="44"/>
        <v>0</v>
      </c>
      <c r="I560" s="194">
        <f t="shared" si="44"/>
        <v>1635.8</v>
      </c>
      <c r="J560" s="194">
        <f t="shared" si="44"/>
        <v>0</v>
      </c>
      <c r="K560" s="194">
        <f t="shared" si="44"/>
        <v>827</v>
      </c>
      <c r="L560" s="194">
        <f t="shared" si="44"/>
        <v>172076.4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463167.88999999996</v>
      </c>
      <c r="G561" s="89">
        <f t="shared" ref="G561:L561" si="45">G550+G555+G560</f>
        <v>155818.96</v>
      </c>
      <c r="H561" s="89">
        <f t="shared" si="45"/>
        <v>7256.2900000000009</v>
      </c>
      <c r="I561" s="89">
        <f t="shared" si="45"/>
        <v>38720.270000000004</v>
      </c>
      <c r="J561" s="89">
        <f t="shared" si="45"/>
        <v>3700.47</v>
      </c>
      <c r="K561" s="89">
        <f t="shared" si="45"/>
        <v>827</v>
      </c>
      <c r="L561" s="89">
        <f t="shared" si="45"/>
        <v>669490.87999999989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3180+7839.58</f>
        <v>11019.58</v>
      </c>
      <c r="G572" s="18">
        <f>148412.59-6202.53</f>
        <v>142210.06</v>
      </c>
      <c r="H572" s="18">
        <f>300775.68-4206.27+4470.62</f>
        <v>301040.02999999997</v>
      </c>
      <c r="I572" s="87">
        <f t="shared" si="46"/>
        <v>454269.66999999993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f>7011.37-3029.74+2114.89+910.71</f>
        <v>7007.2300000000005</v>
      </c>
      <c r="I574" s="87">
        <f t="shared" si="46"/>
        <v>7007.2300000000005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310746.87+(597.57*0.411)-(637.5*0.411)</f>
        <v>310730.45876999997</v>
      </c>
      <c r="I581" s="18">
        <f>183118.7+(597.57*0.253)-(637.5*0.253)</f>
        <v>183108.59771</v>
      </c>
      <c r="J581" s="18">
        <f>61039.57+(597.57*0.336)-(637.5*0.336)</f>
        <v>61026.15352</v>
      </c>
      <c r="K581" s="104">
        <f t="shared" ref="K581:K587" si="47">SUM(H581:J581)</f>
        <v>554865.21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73631.29</f>
        <v>73631.289999999994</v>
      </c>
      <c r="I582" s="18">
        <f>12307.17</f>
        <v>12307.17</v>
      </c>
      <c r="J582" s="18">
        <f>68497.87</f>
        <v>68497.87</v>
      </c>
      <c r="K582" s="104">
        <f t="shared" si="47"/>
        <v>154436.32999999999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28518.48</f>
        <v>28518.48</v>
      </c>
      <c r="K583" s="104">
        <f t="shared" si="47"/>
        <v>28518.48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13643.21</f>
        <v>13643.21</v>
      </c>
      <c r="J584" s="18">
        <f>67302.37-742.01</f>
        <v>66560.36</v>
      </c>
      <c r="K584" s="104">
        <f t="shared" si="47"/>
        <v>80203.570000000007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384361.74876999995</v>
      </c>
      <c r="I588" s="108">
        <f>SUM(I581:I587)</f>
        <v>209058.97771000001</v>
      </c>
      <c r="J588" s="108">
        <f>SUM(J581:J587)</f>
        <v>224602.86352000001</v>
      </c>
      <c r="K588" s="108">
        <f>SUM(K581:K587)</f>
        <v>818023.58999999985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45980.34+28906.32</f>
        <v>74886.66</v>
      </c>
      <c r="I594" s="18">
        <f>43997.03+15607.28</f>
        <v>59604.31</v>
      </c>
      <c r="J594" s="18">
        <f>91410.63+52614.8</f>
        <v>144025.43</v>
      </c>
      <c r="K594" s="104">
        <f>SUM(H594:J594)</f>
        <v>278516.40000000002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74886.66</v>
      </c>
      <c r="I595" s="108">
        <f>SUM(I592:I594)</f>
        <v>59604.31</v>
      </c>
      <c r="J595" s="108">
        <f>SUM(J592:J594)</f>
        <v>144025.43</v>
      </c>
      <c r="K595" s="108">
        <f>SUM(K592:K594)</f>
        <v>278516.40000000002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22390.25</f>
        <v>22390.25</v>
      </c>
      <c r="G601" s="18">
        <f>1231.39+655.2</f>
        <v>1886.5900000000001</v>
      </c>
      <c r="H601" s="18"/>
      <c r="I601" s="18">
        <f>2557.44</f>
        <v>2557.44</v>
      </c>
      <c r="J601" s="18"/>
      <c r="K601" s="18"/>
      <c r="L601" s="88">
        <f>SUM(F601:K601)</f>
        <v>26834.28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10000</f>
        <v>10000</v>
      </c>
      <c r="G602" s="18">
        <f>F602*0.1514</f>
        <v>1514</v>
      </c>
      <c r="H602" s="18"/>
      <c r="I602" s="18">
        <v>401.72</v>
      </c>
      <c r="J602" s="18"/>
      <c r="K602" s="18"/>
      <c r="L602" s="88">
        <f>SUM(F602:K602)</f>
        <v>11915.72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11775</f>
        <v>11775</v>
      </c>
      <c r="G603" s="18">
        <f>F603*0.1514</f>
        <v>1782.7350000000001</v>
      </c>
      <c r="H603" s="18"/>
      <c r="I603" s="18">
        <v>34.32</v>
      </c>
      <c r="J603" s="18"/>
      <c r="K603" s="18"/>
      <c r="L603" s="88">
        <f>SUM(F603:K603)</f>
        <v>13592.055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44165.25</v>
      </c>
      <c r="G604" s="108">
        <f t="shared" si="48"/>
        <v>5183.3250000000007</v>
      </c>
      <c r="H604" s="108">
        <f t="shared" si="48"/>
        <v>0</v>
      </c>
      <c r="I604" s="108">
        <f t="shared" si="48"/>
        <v>2993.48</v>
      </c>
      <c r="J604" s="108">
        <f t="shared" si="48"/>
        <v>0</v>
      </c>
      <c r="K604" s="108">
        <f t="shared" si="48"/>
        <v>0</v>
      </c>
      <c r="L604" s="89">
        <f t="shared" si="48"/>
        <v>52342.055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1405002.6500000001</v>
      </c>
      <c r="H607" s="109">
        <f>SUM(F44)</f>
        <v>1405002.65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97319.8</v>
      </c>
      <c r="H608" s="109">
        <f>SUM(G44)</f>
        <v>97319.8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429731.34</v>
      </c>
      <c r="H609" s="109">
        <f>SUM(H44)</f>
        <v>429731.33999999997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206181.91999999998</v>
      </c>
      <c r="H610" s="109">
        <f>SUM(I44)</f>
        <v>206181.92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2450980.71</v>
      </c>
      <c r="H611" s="109">
        <f>SUM(J44)</f>
        <v>2450980.71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1206946.2</v>
      </c>
      <c r="H612" s="109">
        <f>F466</f>
        <v>1206946.1999999993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97319.8</v>
      </c>
      <c r="H613" s="109">
        <f>G466</f>
        <v>97319.79999999993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32553.180000000015</v>
      </c>
      <c r="H614" s="109">
        <f>H466</f>
        <v>32553.179999999702</v>
      </c>
      <c r="I614" s="121" t="s">
        <v>110</v>
      </c>
      <c r="J614" s="109">
        <f t="shared" si="49"/>
        <v>3.1286617740988731E-10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206181.92</v>
      </c>
      <c r="H615" s="109">
        <f>I466</f>
        <v>206181.91999999995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2450980.71</v>
      </c>
      <c r="H616" s="109">
        <f>J466</f>
        <v>2450980.71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32260078.200000003</v>
      </c>
      <c r="H617" s="104">
        <f>SUM(F458)</f>
        <v>32260078.199999999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827121.95000000019</v>
      </c>
      <c r="H618" s="104">
        <f>SUM(G458)</f>
        <v>827121.95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1492844.17</v>
      </c>
      <c r="H619" s="104">
        <f>SUM(H458)</f>
        <v>1492844.17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7923.47</v>
      </c>
      <c r="H620" s="104">
        <f>SUM(I458)</f>
        <v>7923.47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66699.26999999999</v>
      </c>
      <c r="H621" s="104">
        <f>SUM(J458)</f>
        <v>66699.27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32039640.810000002</v>
      </c>
      <c r="H622" s="104">
        <f>SUM(F462)</f>
        <v>32039640.809999999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1528589.4</v>
      </c>
      <c r="H623" s="104">
        <f>SUM(H462)</f>
        <v>1528589.4000000001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369152.58</v>
      </c>
      <c r="H624" s="104">
        <f>I361</f>
        <v>369152.58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805551.5</v>
      </c>
      <c r="H625" s="104">
        <f>SUM(G462)</f>
        <v>805551.5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182438.85</v>
      </c>
      <c r="H626" s="104">
        <f>SUM(I462)</f>
        <v>182438.85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66699.27</v>
      </c>
      <c r="H627" s="164">
        <f>SUM(J458)</f>
        <v>66699.27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63190.85</v>
      </c>
      <c r="H628" s="164">
        <f>SUM(J462)</f>
        <v>63190.85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88065.43</v>
      </c>
      <c r="H630" s="104">
        <f>SUM(G451)</f>
        <v>88065.43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2362915.2799999998</v>
      </c>
      <c r="H631" s="104">
        <f>SUM(H451)</f>
        <v>2362915.2799999998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2450980.71</v>
      </c>
      <c r="H632" s="104">
        <f>SUM(I451)</f>
        <v>2450980.71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51853.59</v>
      </c>
      <c r="H634" s="104">
        <f>H400</f>
        <v>51853.590000000004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66699.26999999999</v>
      </c>
      <c r="H636" s="104">
        <f>L400</f>
        <v>66699.27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818023.58999999985</v>
      </c>
      <c r="H637" s="104">
        <f>L200+L218+L236</f>
        <v>818023.59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278516.40000000002</v>
      </c>
      <c r="H638" s="104">
        <f>(J249+J330)-(J247+J328)</f>
        <v>278516.40000000002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384361.74876999995</v>
      </c>
      <c r="H639" s="104">
        <f>H588</f>
        <v>384361.74876999995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209058.97771000001</v>
      </c>
      <c r="H640" s="104">
        <f>I588</f>
        <v>209058.97771000001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224602.86351999998</v>
      </c>
      <c r="H641" s="104">
        <f>J588</f>
        <v>224602.86352000001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12809966.895196665</v>
      </c>
      <c r="G650" s="19">
        <f>(L221+L301+L351)</f>
        <v>8118621.1468566675</v>
      </c>
      <c r="H650" s="19">
        <f>(L239+L320+L352)</f>
        <v>11523283.107946668</v>
      </c>
      <c r="I650" s="19">
        <f>SUM(F650:H650)</f>
        <v>32451871.150000002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209123.94922372064</v>
      </c>
      <c r="G651" s="19">
        <f>(L351/IF(SUM(L350:L352)=0,1,SUM(L350:L352))*(SUM(G89:G102)))</f>
        <v>150995.77265539026</v>
      </c>
      <c r="H651" s="19">
        <f>(L352/IF(SUM(L350:L352)=0,1,SUM(L350:L352))*(SUM(G89:G102)))</f>
        <v>174943.5681208891</v>
      </c>
      <c r="I651" s="19">
        <f>SUM(F651:H651)</f>
        <v>535063.29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387152.77876999998</v>
      </c>
      <c r="G652" s="19">
        <f>(L218+L298)-(J218+J298)</f>
        <v>211630.92771000002</v>
      </c>
      <c r="H652" s="19">
        <f>(L236+L317)-(J236+J317)</f>
        <v>234447.38351999997</v>
      </c>
      <c r="I652" s="19">
        <f>SUM(F652:H652)</f>
        <v>833231.08999999985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112740.52</v>
      </c>
      <c r="G653" s="200">
        <f>SUM(G565:G577)+SUM(I592:I594)+L602</f>
        <v>213730.09</v>
      </c>
      <c r="H653" s="200">
        <f>SUM(H565:H577)+SUM(J592:J594)+L603</f>
        <v>465664.74499999994</v>
      </c>
      <c r="I653" s="19">
        <f>SUM(F653:H653)</f>
        <v>792135.35499999998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12100949.647202944</v>
      </c>
      <c r="G654" s="19">
        <f>G650-SUM(G651:G653)</f>
        <v>7542264.356491277</v>
      </c>
      <c r="H654" s="19">
        <f>H650-SUM(H651:H653)</f>
        <v>10648227.41130578</v>
      </c>
      <c r="I654" s="19">
        <f>I650-SUM(I651:I653)</f>
        <v>30291441.415000003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1097.06</v>
      </c>
      <c r="G655" s="249">
        <v>672.78</v>
      </c>
      <c r="H655" s="249">
        <v>893.82</v>
      </c>
      <c r="I655" s="19">
        <f>SUM(F655:H655)</f>
        <v>2663.66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11030.34</v>
      </c>
      <c r="G657" s="19">
        <f>ROUND(G654/G655,2)</f>
        <v>11210.6</v>
      </c>
      <c r="H657" s="19">
        <f>ROUND(H654/H655,2)</f>
        <v>11913.17</v>
      </c>
      <c r="I657" s="19">
        <f>ROUND(I654/I655,2)</f>
        <v>11372.11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14.97</v>
      </c>
      <c r="I660" s="19">
        <f>SUM(F660:H660)</f>
        <v>14.97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11030.34</v>
      </c>
      <c r="G662" s="19">
        <f>ROUND((G654+G659)/(G655+G660),2)</f>
        <v>11210.6</v>
      </c>
      <c r="H662" s="19">
        <f>ROUND((H654+H659)/(H655+H660),2)</f>
        <v>11716.93</v>
      </c>
      <c r="I662" s="19">
        <f>ROUND((I654+I659)/(I655+I660),2)</f>
        <v>11308.56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42D1-20D4-4E43-B13E-396A931A1102}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Milford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9340287.459999999</v>
      </c>
      <c r="C9" s="230">
        <f>'DOE25'!G189+'DOE25'!G207+'DOE25'!G225+'DOE25'!G268+'DOE25'!G287+'DOE25'!G306</f>
        <v>3838529.1199999996</v>
      </c>
    </row>
    <row r="10" spans="1:3" x14ac:dyDescent="0.2">
      <c r="A10" t="s">
        <v>813</v>
      </c>
      <c r="B10" s="241">
        <f>3278842.2+400+2394568.43+2976049.11+40072+74329+2100</f>
        <v>8766360.7400000002</v>
      </c>
      <c r="C10" s="241">
        <f>C9-C11-C12</f>
        <v>3662671.5552599998</v>
      </c>
    </row>
    <row r="11" spans="1:3" x14ac:dyDescent="0.2">
      <c r="A11" t="s">
        <v>814</v>
      </c>
      <c r="B11" s="241">
        <v>314421.56</v>
      </c>
      <c r="C11" s="241">
        <v>156005.42000000001</v>
      </c>
    </row>
    <row r="12" spans="1:3" x14ac:dyDescent="0.2">
      <c r="A12" t="s">
        <v>815</v>
      </c>
      <c r="B12" s="241">
        <f>2984.8+1089.57+7078.6+352.91+3371.71+5098.12+237311.01+2218.44</f>
        <v>259505.16</v>
      </c>
      <c r="C12" s="241">
        <f>B12*0.0765</f>
        <v>19852.14474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9340287.4600000009</v>
      </c>
      <c r="C13" s="232">
        <f>SUM(C10:C12)</f>
        <v>3838529.1199999996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3118390.9199999995</v>
      </c>
      <c r="C18" s="230">
        <f>'DOE25'!G190+'DOE25'!G208+'DOE25'!G226+'DOE25'!G269+'DOE25'!G288+'DOE25'!G307</f>
        <v>1249800.5799999998</v>
      </c>
    </row>
    <row r="19" spans="1:3" x14ac:dyDescent="0.2">
      <c r="A19" t="s">
        <v>813</v>
      </c>
      <c r="B19" s="241">
        <f>1440379.13+4500.56+156601.23</f>
        <v>1601480.92</v>
      </c>
      <c r="C19" s="241">
        <f>C18-C20-C21</f>
        <v>231638.96999999988</v>
      </c>
    </row>
    <row r="20" spans="1:3" x14ac:dyDescent="0.2">
      <c r="A20" t="s">
        <v>814</v>
      </c>
      <c r="B20" s="241">
        <v>1429860.84</v>
      </c>
      <c r="C20" s="241">
        <f>972002.71</f>
        <v>972002.71</v>
      </c>
    </row>
    <row r="21" spans="1:3" x14ac:dyDescent="0.2">
      <c r="A21" t="s">
        <v>815</v>
      </c>
      <c r="B21" s="241">
        <v>87049.16</v>
      </c>
      <c r="C21" s="241">
        <f>5209.68+6935.1+725.09+5969.08+7821.37+4286.58+15212</f>
        <v>46158.9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3118390.92</v>
      </c>
      <c r="C22" s="232">
        <f>SUM(C19:C21)</f>
        <v>1249800.5799999998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686731</v>
      </c>
      <c r="C27" s="235">
        <f>'DOE25'!G191+'DOE25'!G209+'DOE25'!G227+'DOE25'!G270+'DOE25'!G289+'DOE25'!G308</f>
        <v>288657.32</v>
      </c>
    </row>
    <row r="28" spans="1:3" x14ac:dyDescent="0.2">
      <c r="A28" t="s">
        <v>813</v>
      </c>
      <c r="B28" s="241">
        <f>686731</f>
        <v>686731</v>
      </c>
      <c r="C28" s="241">
        <f>C27-C29-C30</f>
        <v>288657.32</v>
      </c>
    </row>
    <row r="29" spans="1:3" x14ac:dyDescent="0.2">
      <c r="A29" t="s">
        <v>814</v>
      </c>
      <c r="B29" s="241">
        <v>0</v>
      </c>
      <c r="C29" s="241">
        <f>B29*(0.0765+0.0916)</f>
        <v>0</v>
      </c>
    </row>
    <row r="30" spans="1:3" x14ac:dyDescent="0.2">
      <c r="A30" t="s">
        <v>815</v>
      </c>
      <c r="B30" s="241">
        <v>0</v>
      </c>
      <c r="C30" s="241">
        <f>B30*0.0765</f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686731</v>
      </c>
      <c r="C31" s="232">
        <f>SUM(C28:C30)</f>
        <v>288657.32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219107.24</v>
      </c>
      <c r="C36" s="236">
        <f>'DOE25'!G192+'DOE25'!G210+'DOE25'!G228+'DOE25'!G271+'DOE25'!G290+'DOE25'!G309</f>
        <v>21394.57</v>
      </c>
    </row>
    <row r="37" spans="1:3" x14ac:dyDescent="0.2">
      <c r="A37" t="s">
        <v>813</v>
      </c>
      <c r="B37" s="241">
        <f>29765.25+7200+3600+600</f>
        <v>41165.25</v>
      </c>
      <c r="C37" s="241">
        <f>C36-C38-C39</f>
        <v>7452.2477650000001</v>
      </c>
    </row>
    <row r="38" spans="1:3" x14ac:dyDescent="0.2">
      <c r="A38" t="s">
        <v>814</v>
      </c>
      <c r="B38" s="241">
        <f>2160+1440</f>
        <v>3600</v>
      </c>
      <c r="C38" s="241">
        <f>B38*(0.0765+0.0916)</f>
        <v>605.16</v>
      </c>
    </row>
    <row r="39" spans="1:3" x14ac:dyDescent="0.2">
      <c r="A39" t="s">
        <v>815</v>
      </c>
      <c r="B39" s="241">
        <f>1192+36428.99+136721</f>
        <v>174341.99</v>
      </c>
      <c r="C39" s="241">
        <f>B39*0.0765</f>
        <v>13337.162235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219107.24</v>
      </c>
      <c r="C40" s="232">
        <f>SUM(C37:C39)</f>
        <v>21394.57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CD1B-8E4D-459E-BE22-25CBDDD30917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Milford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19295801.079999998</v>
      </c>
      <c r="D5" s="20">
        <f>SUM('DOE25'!L189:L192)+SUM('DOE25'!L207:L210)+SUM('DOE25'!L225:L228)-F5-G5</f>
        <v>19166804.719999999</v>
      </c>
      <c r="E5" s="244"/>
      <c r="F5" s="256">
        <f>SUM('DOE25'!J189:J192)+SUM('DOE25'!J207:J210)+SUM('DOE25'!J225:J228)</f>
        <v>114636.36</v>
      </c>
      <c r="G5" s="53">
        <f>SUM('DOE25'!K189:K192)+SUM('DOE25'!K207:K210)+SUM('DOE25'!K225:K228)</f>
        <v>14360</v>
      </c>
      <c r="H5" s="260"/>
    </row>
    <row r="6" spans="1:9" x14ac:dyDescent="0.2">
      <c r="A6" s="32">
        <v>2100</v>
      </c>
      <c r="B6" t="s">
        <v>835</v>
      </c>
      <c r="C6" s="246">
        <f t="shared" si="0"/>
        <v>2402297.0900000003</v>
      </c>
      <c r="D6" s="20">
        <f>'DOE25'!L194+'DOE25'!L212+'DOE25'!L230-F6-G6</f>
        <v>2400951.66</v>
      </c>
      <c r="E6" s="244"/>
      <c r="F6" s="256">
        <f>'DOE25'!J194+'DOE25'!J212+'DOE25'!J230</f>
        <v>1045.4299999999998</v>
      </c>
      <c r="G6" s="53">
        <f>'DOE25'!K194+'DOE25'!K212+'DOE25'!K230</f>
        <v>300</v>
      </c>
      <c r="H6" s="260"/>
    </row>
    <row r="7" spans="1:9" x14ac:dyDescent="0.2">
      <c r="A7" s="32">
        <v>2200</v>
      </c>
      <c r="B7" t="s">
        <v>868</v>
      </c>
      <c r="C7" s="246">
        <f t="shared" si="0"/>
        <v>438293.36</v>
      </c>
      <c r="D7" s="20">
        <f>'DOE25'!L195+'DOE25'!L213+'DOE25'!L231-F7-G7</f>
        <v>425660.08999999997</v>
      </c>
      <c r="E7" s="244"/>
      <c r="F7" s="256">
        <f>'DOE25'!J195+'DOE25'!J213+'DOE25'!J231</f>
        <v>12376.269999999999</v>
      </c>
      <c r="G7" s="53">
        <f>'DOE25'!K195+'DOE25'!K213+'DOE25'!K231</f>
        <v>257</v>
      </c>
      <c r="H7" s="260"/>
    </row>
    <row r="8" spans="1:9" x14ac:dyDescent="0.2">
      <c r="A8" s="32">
        <v>2300</v>
      </c>
      <c r="B8" t="s">
        <v>836</v>
      </c>
      <c r="C8" s="246">
        <f t="shared" si="0"/>
        <v>1604036.2399999998</v>
      </c>
      <c r="D8" s="244"/>
      <c r="E8" s="20">
        <f>'DOE25'!L196+'DOE25'!L214+'DOE25'!L232-F8-G8-D9-D11</f>
        <v>1590355.8599999999</v>
      </c>
      <c r="F8" s="256">
        <f>'DOE25'!J196+'DOE25'!J214+'DOE25'!J232</f>
        <v>339</v>
      </c>
      <c r="G8" s="53">
        <f>'DOE25'!K196+'DOE25'!K214+'DOE25'!K232</f>
        <v>13341.380000000001</v>
      </c>
      <c r="H8" s="260"/>
    </row>
    <row r="9" spans="1:9" x14ac:dyDescent="0.2">
      <c r="A9" s="32">
        <v>2310</v>
      </c>
      <c r="B9" t="s">
        <v>852</v>
      </c>
      <c r="C9" s="246">
        <f t="shared" si="0"/>
        <v>87969.279999999999</v>
      </c>
      <c r="D9" s="245">
        <f>87969.28</f>
        <v>87969.279999999999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14300</v>
      </c>
      <c r="D10" s="244"/>
      <c r="E10" s="245">
        <v>14300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245545.74</v>
      </c>
      <c r="D11" s="245">
        <f>245545.74</f>
        <v>245545.74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1753121.1800000002</v>
      </c>
      <c r="D12" s="20">
        <f>'DOE25'!L197+'DOE25'!L215+'DOE25'!L233-F12-G12</f>
        <v>1731463.8900000001</v>
      </c>
      <c r="E12" s="244"/>
      <c r="F12" s="256">
        <f>'DOE25'!J197+'DOE25'!J215+'DOE25'!J233</f>
        <v>299.99</v>
      </c>
      <c r="G12" s="53">
        <f>'DOE25'!K197+'DOE25'!K215+'DOE25'!K233</f>
        <v>21357.3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2658661.58</v>
      </c>
      <c r="D14" s="20">
        <f>'DOE25'!L199+'DOE25'!L217+'DOE25'!L235-F14-G14</f>
        <v>2644390.89</v>
      </c>
      <c r="E14" s="244"/>
      <c r="F14" s="256">
        <f>'DOE25'!J199+'DOE25'!J217+'DOE25'!J235</f>
        <v>14270.69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818023.59</v>
      </c>
      <c r="D15" s="20">
        <f>'DOE25'!L200+'DOE25'!L218+'DOE25'!L236-F15-G15</f>
        <v>818023.59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813981.11</v>
      </c>
      <c r="D16" s="244"/>
      <c r="E16" s="20">
        <f>'DOE25'!L201+'DOE25'!L219+'DOE25'!L237-F16-G16</f>
        <v>775560.85</v>
      </c>
      <c r="F16" s="256">
        <f>'DOE25'!J201+'DOE25'!J219+'DOE25'!J237</f>
        <v>38420.26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207278.6</v>
      </c>
      <c r="D22" s="244"/>
      <c r="E22" s="244"/>
      <c r="F22" s="256">
        <f>'DOE25'!L247+'DOE25'!L328</f>
        <v>207278.6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1714631.96</v>
      </c>
      <c r="D25" s="244"/>
      <c r="E25" s="244"/>
      <c r="F25" s="259"/>
      <c r="G25" s="257"/>
      <c r="H25" s="258">
        <f>'DOE25'!L252+'DOE25'!L253+'DOE25'!L333+'DOE25'!L334</f>
        <v>1714631.96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467281.3</v>
      </c>
      <c r="D29" s="20">
        <f>'DOE25'!L350+'DOE25'!L351+'DOE25'!L352-'DOE25'!I359-F29-G29</f>
        <v>461920.45</v>
      </c>
      <c r="E29" s="244"/>
      <c r="F29" s="256">
        <f>'DOE25'!J350+'DOE25'!J351+'DOE25'!J352</f>
        <v>5360.85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1528589.4</v>
      </c>
      <c r="D31" s="20">
        <f>'DOE25'!L282+'DOE25'!L301+'DOE25'!L320+'DOE25'!L325+'DOE25'!L326+'DOE25'!L327-F31-G31</f>
        <v>1428423.16</v>
      </c>
      <c r="E31" s="244"/>
      <c r="F31" s="256">
        <f>'DOE25'!J282+'DOE25'!J301+'DOE25'!J320+'DOE25'!J325+'DOE25'!J326+'DOE25'!J327</f>
        <v>97128.4</v>
      </c>
      <c r="G31" s="53">
        <f>'DOE25'!K282+'DOE25'!K301+'DOE25'!K320+'DOE25'!K325+'DOE25'!K326+'DOE25'!K327</f>
        <v>3037.84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29411153.469999999</v>
      </c>
      <c r="E33" s="247">
        <f>SUM(E5:E31)</f>
        <v>2380216.71</v>
      </c>
      <c r="F33" s="247">
        <f>SUM(F5:F31)</f>
        <v>491155.85</v>
      </c>
      <c r="G33" s="247">
        <f>SUM(G5:G31)</f>
        <v>52653.520000000004</v>
      </c>
      <c r="H33" s="247">
        <f>SUM(H5:H31)</f>
        <v>1714631.96</v>
      </c>
    </row>
    <row r="35" spans="2:8" ht="12" thickBot="1" x14ac:dyDescent="0.25">
      <c r="B35" s="254" t="s">
        <v>881</v>
      </c>
      <c r="D35" s="255">
        <f>E33</f>
        <v>2380216.71</v>
      </c>
      <c r="E35" s="250"/>
    </row>
    <row r="36" spans="2:8" ht="12" thickTop="1" x14ac:dyDescent="0.2">
      <c r="B36" t="s">
        <v>849</v>
      </c>
      <c r="D36" s="20">
        <f>D33</f>
        <v>29411153.469999999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DB42-5753-4545-870A-26A955549C6F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Milford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990345.5</v>
      </c>
      <c r="D9" s="95">
        <f>'DOE25'!G9</f>
        <v>420</v>
      </c>
      <c r="E9" s="95">
        <f>'DOE25'!H9</f>
        <v>0</v>
      </c>
      <c r="F9" s="95">
        <f>'DOE25'!I9</f>
        <v>171805.47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63.93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2450980.71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263193.03000000003</v>
      </c>
      <c r="D12" s="95">
        <f>'DOE25'!G12</f>
        <v>78862.39</v>
      </c>
      <c r="E12" s="95">
        <f>'DOE25'!H12</f>
        <v>6097.29</v>
      </c>
      <c r="F12" s="95">
        <f>'DOE25'!I12</f>
        <v>34376.449999999997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116310.87</v>
      </c>
      <c r="D13" s="95">
        <f>'DOE25'!G13</f>
        <v>18037.41</v>
      </c>
      <c r="E13" s="95">
        <f>'DOE25'!H13</f>
        <v>418476.03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32752.720000000001</v>
      </c>
      <c r="D14" s="95">
        <f>'DOE25'!G14</f>
        <v>0</v>
      </c>
      <c r="E14" s="95">
        <f>'DOE25'!H14</f>
        <v>4158.0200000000004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2336.6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1000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1405002.6500000001</v>
      </c>
      <c r="D19" s="41">
        <f>SUM(D9:D18)</f>
        <v>97319.8</v>
      </c>
      <c r="E19" s="41">
        <f>SUM(E9:E18)</f>
        <v>429731.34</v>
      </c>
      <c r="F19" s="41">
        <f>SUM(F9:F18)</f>
        <v>206181.91999999998</v>
      </c>
      <c r="G19" s="41">
        <f>SUM(G9:G18)</f>
        <v>2450980.71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382529.16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120698.81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73932.429999999993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3425.21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14649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198056.44999999998</v>
      </c>
      <c r="D32" s="41">
        <f>SUM(D22:D31)</f>
        <v>0</v>
      </c>
      <c r="E32" s="41">
        <f>SUM(E22:E31)</f>
        <v>397178.16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137844.26999999999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77000</v>
      </c>
      <c r="D40" s="95">
        <f>'DOE25'!G41</f>
        <v>97319.8</v>
      </c>
      <c r="E40" s="95">
        <f>'DOE25'!H41</f>
        <v>32553.180000000015</v>
      </c>
      <c r="F40" s="95">
        <f>'DOE25'!I41</f>
        <v>206181.92</v>
      </c>
      <c r="G40" s="95">
        <f>'DOE25'!J41</f>
        <v>2450980.71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992101.92999999993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1206946.2</v>
      </c>
      <c r="D42" s="41">
        <f>SUM(D34:D41)</f>
        <v>97319.8</v>
      </c>
      <c r="E42" s="41">
        <f>SUM(E34:E41)</f>
        <v>32553.180000000015</v>
      </c>
      <c r="F42" s="41">
        <f>SUM(F34:F41)</f>
        <v>206181.92</v>
      </c>
      <c r="G42" s="41">
        <f>SUM(G34:G41)</f>
        <v>2450980.71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1405002.65</v>
      </c>
      <c r="D43" s="41">
        <f>D42+D32</f>
        <v>97319.8</v>
      </c>
      <c r="E43" s="41">
        <f>E42+E32</f>
        <v>429731.33999999997</v>
      </c>
      <c r="F43" s="41">
        <f>F42+F32</f>
        <v>206181.92</v>
      </c>
      <c r="G43" s="41">
        <f>G42+G32</f>
        <v>2450980.71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18356991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788528.92999999993</v>
      </c>
      <c r="D49" s="24" t="s">
        <v>312</v>
      </c>
      <c r="E49" s="95">
        <f>'DOE25'!H71</f>
        <v>89780.6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7389.31</v>
      </c>
      <c r="D51" s="95">
        <f>'DOE25'!G88</f>
        <v>0</v>
      </c>
      <c r="E51" s="95">
        <f>'DOE25'!H88</f>
        <v>0</v>
      </c>
      <c r="F51" s="95">
        <f>'DOE25'!I88</f>
        <v>422.47</v>
      </c>
      <c r="G51" s="95">
        <f>'DOE25'!J88</f>
        <v>51853.59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534963.29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33897.61</v>
      </c>
      <c r="D53" s="95">
        <f>SUM('DOE25'!G90:G102)</f>
        <v>100</v>
      </c>
      <c r="E53" s="95">
        <f>SUM('DOE25'!H90:H102)</f>
        <v>46909.210000000006</v>
      </c>
      <c r="F53" s="95">
        <f>SUM('DOE25'!I90:I102)</f>
        <v>7501</v>
      </c>
      <c r="G53" s="95">
        <f>SUM('DOE25'!J90:J102)</f>
        <v>14845.68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829815.85</v>
      </c>
      <c r="D54" s="130">
        <f>SUM(D49:D53)</f>
        <v>535063.29</v>
      </c>
      <c r="E54" s="130">
        <f>SUM(E49:E53)</f>
        <v>136689.81</v>
      </c>
      <c r="F54" s="130">
        <f>SUM(F49:F53)</f>
        <v>7923.47</v>
      </c>
      <c r="G54" s="130">
        <f>SUM(G49:G53)</f>
        <v>66699.26999999999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19186806.850000001</v>
      </c>
      <c r="D55" s="22">
        <f>D48+D54</f>
        <v>535063.29</v>
      </c>
      <c r="E55" s="22">
        <f>E48+E54</f>
        <v>136689.81</v>
      </c>
      <c r="F55" s="22">
        <f>F48+F54</f>
        <v>7923.47</v>
      </c>
      <c r="G55" s="22">
        <f>G48+G54</f>
        <v>66699.26999999999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5924653.3399999999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3321482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2273105.66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11519241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366534.04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274517.98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234600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124041.74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195542.06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9109.5600000000013</v>
      </c>
      <c r="E69" s="95">
        <f>SUM('DOE25'!H123:H127)</f>
        <v>39777.97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1195235.82</v>
      </c>
      <c r="D70" s="130">
        <f>SUM(D64:D69)</f>
        <v>9109.5600000000013</v>
      </c>
      <c r="E70" s="130">
        <f>SUM(E64:E69)</f>
        <v>39777.97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12714476.82</v>
      </c>
      <c r="D73" s="130">
        <f>SUM(D71:D72)+D70+D62</f>
        <v>9109.5600000000013</v>
      </c>
      <c r="E73" s="130">
        <f>SUM(E71:E72)+E70+E62</f>
        <v>39777.97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323544.53000000003</v>
      </c>
      <c r="D80" s="95">
        <f>SUM('DOE25'!G145:G153)</f>
        <v>282949.10000000003</v>
      </c>
      <c r="E80" s="95">
        <f>SUM('DOE25'!H145:H153)</f>
        <v>1316376.3899999999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323544.53000000003</v>
      </c>
      <c r="D83" s="131">
        <f>SUM(D77:D82)</f>
        <v>282949.10000000003</v>
      </c>
      <c r="E83" s="131">
        <f>SUM(E77:E82)</f>
        <v>1316376.3899999999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35000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250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35250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32260078.200000003</v>
      </c>
      <c r="D96" s="86">
        <f>D55+D73+D83+D95</f>
        <v>827121.95000000019</v>
      </c>
      <c r="E96" s="86">
        <f>E55+E73+E83+E95</f>
        <v>1492844.17</v>
      </c>
      <c r="F96" s="86">
        <f>F55+F73+F83+F95</f>
        <v>7923.47</v>
      </c>
      <c r="G96" s="86">
        <f>G55+G73+G95</f>
        <v>66699.26999999999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13437413.66</v>
      </c>
      <c r="D101" s="24" t="s">
        <v>312</v>
      </c>
      <c r="E101" s="95">
        <f>('DOE25'!L268)+('DOE25'!L287)+('DOE25'!L306)</f>
        <v>189370.68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4531645.9399999995</v>
      </c>
      <c r="D102" s="24" t="s">
        <v>312</v>
      </c>
      <c r="E102" s="95">
        <f>('DOE25'!L269)+('DOE25'!L288)+('DOE25'!L307)</f>
        <v>538615.12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1015902.37</v>
      </c>
      <c r="D103" s="24" t="s">
        <v>312</v>
      </c>
      <c r="E103" s="95">
        <f>('DOE25'!L270)+('DOE25'!L289)+('DOE25'!L308)</f>
        <v>106490.03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310839.11</v>
      </c>
      <c r="D104" s="24" t="s">
        <v>312</v>
      </c>
      <c r="E104" s="95">
        <f>+('DOE25'!L271)+('DOE25'!L290)+('DOE25'!L309)</f>
        <v>46526.289999999994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19295801.080000002</v>
      </c>
      <c r="D107" s="86">
        <f>SUM(D101:D106)</f>
        <v>0</v>
      </c>
      <c r="E107" s="86">
        <f>SUM(E101:E106)</f>
        <v>881002.12000000011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2402297.0900000003</v>
      </c>
      <c r="D110" s="24" t="s">
        <v>312</v>
      </c>
      <c r="E110" s="95">
        <f>+('DOE25'!L273)+('DOE25'!L292)+('DOE25'!L311)</f>
        <v>385716.34999999992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438293.36</v>
      </c>
      <c r="D111" s="24" t="s">
        <v>312</v>
      </c>
      <c r="E111" s="95">
        <f>+('DOE25'!L274)+('DOE25'!L293)+('DOE25'!L312)</f>
        <v>120381.89999999998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1937551.2599999998</v>
      </c>
      <c r="D112" s="24" t="s">
        <v>312</v>
      </c>
      <c r="E112" s="95">
        <f>+('DOE25'!L275)+('DOE25'!L294)+('DOE25'!L313)</f>
        <v>124881.52999999998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1753121.1800000002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2658661.58</v>
      </c>
      <c r="D115" s="24" t="s">
        <v>312</v>
      </c>
      <c r="E115" s="95">
        <f>+('DOE25'!L278)+('DOE25'!L297)+('DOE25'!L316)</f>
        <v>1400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818023.59</v>
      </c>
      <c r="D116" s="24" t="s">
        <v>312</v>
      </c>
      <c r="E116" s="95">
        <f>+('DOE25'!L279)+('DOE25'!L298)+('DOE25'!L317)</f>
        <v>15207.5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813981.11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805551.5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10821929.17</v>
      </c>
      <c r="D120" s="86">
        <f>SUM(D110:D119)</f>
        <v>805551.5</v>
      </c>
      <c r="E120" s="86">
        <f>SUM(E110:E119)</f>
        <v>647587.27999999991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207278.6</v>
      </c>
      <c r="D122" s="24" t="s">
        <v>312</v>
      </c>
      <c r="E122" s="129">
        <f>'DOE25'!L328</f>
        <v>0</v>
      </c>
      <c r="F122" s="129">
        <f>SUM('DOE25'!L366:'DOE25'!L372)</f>
        <v>182438.85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1120302.3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594329.66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35000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16409.810000000001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50289.46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-66699.27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1921910.56</v>
      </c>
      <c r="D136" s="141">
        <f>SUM(D122:D135)</f>
        <v>0</v>
      </c>
      <c r="E136" s="141">
        <f>SUM(E122:E135)</f>
        <v>0</v>
      </c>
      <c r="F136" s="141">
        <f>SUM(F122:F135)</f>
        <v>182438.85</v>
      </c>
      <c r="G136" s="141">
        <f>SUM(G122:G135)</f>
        <v>35000</v>
      </c>
    </row>
    <row r="137" spans="1:9" ht="12.75" thickTop="1" thickBot="1" x14ac:dyDescent="0.25">
      <c r="A137" s="33" t="s">
        <v>267</v>
      </c>
      <c r="C137" s="86">
        <f>(C107+C120+C136)</f>
        <v>32039640.809999999</v>
      </c>
      <c r="D137" s="86">
        <f>(D107+D120+D136)</f>
        <v>805551.5</v>
      </c>
      <c r="E137" s="86">
        <f>(E107+E120+E136)</f>
        <v>1528589.4</v>
      </c>
      <c r="F137" s="86">
        <f>(F107+F120+F136)</f>
        <v>182438.85</v>
      </c>
      <c r="G137" s="86">
        <f>(G107+G120+G136)</f>
        <v>35000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20</v>
      </c>
      <c r="D143" s="153">
        <f>'DOE25'!H480</f>
        <v>20</v>
      </c>
      <c r="E143" s="153">
        <f>'DOE25'!I480</f>
        <v>20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01/98</v>
      </c>
      <c r="C144" s="152" t="str">
        <f>'DOE25'!G481</f>
        <v>01/08</v>
      </c>
      <c r="D144" s="152" t="str">
        <f>'DOE25'!H481</f>
        <v>01/92</v>
      </c>
      <c r="E144" s="152" t="str">
        <f>'DOE25'!I481</f>
        <v>01/00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01/13</v>
      </c>
      <c r="C145" s="152" t="str">
        <f>'DOE25'!G482</f>
        <v>01/28</v>
      </c>
      <c r="D145" s="152" t="str">
        <f>'DOE25'!H482</f>
        <v>01/12</v>
      </c>
      <c r="E145" s="152" t="str">
        <f>'DOE25'!I482</f>
        <v>01/20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1292240</v>
      </c>
      <c r="C146" s="137">
        <f>'DOE25'!G483</f>
        <v>4393500</v>
      </c>
      <c r="D146" s="137">
        <f>'DOE25'!H483</f>
        <v>5150000</v>
      </c>
      <c r="E146" s="137">
        <f>'DOE25'!I483</f>
        <v>10895000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4.62</v>
      </c>
      <c r="C147" s="137">
        <f>'DOE25'!G484</f>
        <v>4.43</v>
      </c>
      <c r="D147" s="137">
        <f>'DOE25'!H484</f>
        <v>6.65</v>
      </c>
      <c r="E147" s="137">
        <f>'DOE25'!I484</f>
        <v>5.58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335000</v>
      </c>
      <c r="C148" s="137">
        <f>'DOE25'!G485</f>
        <v>4175000</v>
      </c>
      <c r="D148" s="137">
        <f>'DOE25'!H485</f>
        <v>765000</v>
      </c>
      <c r="E148" s="137">
        <f>'DOE25'!I485</f>
        <v>5990000</v>
      </c>
      <c r="F148" s="137">
        <f>'DOE25'!J485</f>
        <v>0</v>
      </c>
      <c r="G148" s="138">
        <f>SUM(B148:F148)</f>
        <v>11265000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85000</v>
      </c>
      <c r="C150" s="137">
        <f>'DOE25'!G487</f>
        <v>220000</v>
      </c>
      <c r="D150" s="137">
        <f>'DOE25'!H487</f>
        <v>255000</v>
      </c>
      <c r="E150" s="137">
        <f>'DOE25'!I487</f>
        <v>545000</v>
      </c>
      <c r="F150" s="137">
        <f>'DOE25'!J487</f>
        <v>0</v>
      </c>
      <c r="G150" s="138">
        <f t="shared" si="0"/>
        <v>1105000</v>
      </c>
    </row>
    <row r="151" spans="1:7" x14ac:dyDescent="0.2">
      <c r="A151" s="22" t="s">
        <v>35</v>
      </c>
      <c r="B151" s="137">
        <f>'DOE25'!F488</f>
        <v>250000</v>
      </c>
      <c r="C151" s="137">
        <f>'DOE25'!G488</f>
        <v>3955000</v>
      </c>
      <c r="D151" s="137">
        <f>'DOE25'!H488</f>
        <v>510000</v>
      </c>
      <c r="E151" s="137">
        <f>'DOE25'!I488</f>
        <v>5445000</v>
      </c>
      <c r="F151" s="137">
        <f>'DOE25'!J488</f>
        <v>0</v>
      </c>
      <c r="G151" s="138">
        <f t="shared" si="0"/>
        <v>10160000</v>
      </c>
    </row>
    <row r="152" spans="1:7" x14ac:dyDescent="0.2">
      <c r="A152" s="22" t="s">
        <v>36</v>
      </c>
      <c r="B152" s="137">
        <f>'DOE25'!F489</f>
        <v>24050</v>
      </c>
      <c r="C152" s="137">
        <f>'DOE25'!G489</f>
        <v>1654863</v>
      </c>
      <c r="D152" s="137">
        <f>'DOE25'!H489</f>
        <v>52785</v>
      </c>
      <c r="E152" s="137">
        <f>'DOE25'!I489</f>
        <v>1688668</v>
      </c>
      <c r="F152" s="137">
        <f>'DOE25'!J489</f>
        <v>0</v>
      </c>
      <c r="G152" s="138">
        <f t="shared" si="0"/>
        <v>3420366</v>
      </c>
    </row>
    <row r="153" spans="1:7" x14ac:dyDescent="0.2">
      <c r="A153" s="22" t="s">
        <v>37</v>
      </c>
      <c r="B153" s="137">
        <f>'DOE25'!F490</f>
        <v>274050</v>
      </c>
      <c r="C153" s="137">
        <f>'DOE25'!G490</f>
        <v>5609863</v>
      </c>
      <c r="D153" s="137">
        <f>'DOE25'!H490</f>
        <v>562785</v>
      </c>
      <c r="E153" s="137">
        <f>'DOE25'!I490</f>
        <v>7133668</v>
      </c>
      <c r="F153" s="137">
        <f>'DOE25'!J490</f>
        <v>0</v>
      </c>
      <c r="G153" s="138">
        <f t="shared" si="0"/>
        <v>13580366</v>
      </c>
    </row>
    <row r="154" spans="1:7" x14ac:dyDescent="0.2">
      <c r="A154" s="22" t="s">
        <v>38</v>
      </c>
      <c r="B154" s="137">
        <f>'DOE25'!F491</f>
        <v>85000</v>
      </c>
      <c r="C154" s="137">
        <f>'DOE25'!G491</f>
        <v>220000</v>
      </c>
      <c r="D154" s="137">
        <f>'DOE25'!H491</f>
        <v>255000</v>
      </c>
      <c r="E154" s="137">
        <f>'DOE25'!I491</f>
        <v>545000</v>
      </c>
      <c r="F154" s="137">
        <f>'DOE25'!J491</f>
        <v>0</v>
      </c>
      <c r="G154" s="138">
        <f t="shared" si="0"/>
        <v>1105000</v>
      </c>
    </row>
    <row r="155" spans="1:7" x14ac:dyDescent="0.2">
      <c r="A155" s="22" t="s">
        <v>39</v>
      </c>
      <c r="B155" s="137">
        <f>'DOE25'!F492</f>
        <v>12100</v>
      </c>
      <c r="C155" s="137">
        <f>'DOE25'!G492</f>
        <v>179356</v>
      </c>
      <c r="D155" s="137">
        <f>'DOE25'!H492</f>
        <v>35190</v>
      </c>
      <c r="E155" s="137">
        <f>'DOE25'!I492</f>
        <v>304776</v>
      </c>
      <c r="F155" s="137">
        <f>'DOE25'!J492</f>
        <v>0</v>
      </c>
      <c r="G155" s="138">
        <f t="shared" si="0"/>
        <v>531422</v>
      </c>
    </row>
    <row r="156" spans="1:7" x14ac:dyDescent="0.2">
      <c r="A156" s="22" t="s">
        <v>269</v>
      </c>
      <c r="B156" s="137">
        <f>'DOE25'!F493</f>
        <v>97100</v>
      </c>
      <c r="C156" s="137">
        <f>'DOE25'!G493</f>
        <v>399356</v>
      </c>
      <c r="D156" s="137">
        <f>'DOE25'!H493</f>
        <v>290190</v>
      </c>
      <c r="E156" s="137">
        <f>'DOE25'!I493</f>
        <v>849776</v>
      </c>
      <c r="F156" s="137">
        <f>'DOE25'!J493</f>
        <v>0</v>
      </c>
      <c r="G156" s="138">
        <f t="shared" si="0"/>
        <v>1636422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5DA0-67FF-40ED-84DC-5D3E745FEE01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Milford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11030</v>
      </c>
    </row>
    <row r="5" spans="1:4" x14ac:dyDescent="0.2">
      <c r="B5" t="s">
        <v>735</v>
      </c>
      <c r="C5" s="179">
        <f>IF('DOE25'!G655+'DOE25'!G660=0,0,ROUND('DOE25'!G662,0))</f>
        <v>11211</v>
      </c>
    </row>
    <row r="6" spans="1:4" x14ac:dyDescent="0.2">
      <c r="B6" t="s">
        <v>62</v>
      </c>
      <c r="C6" s="179">
        <f>IF('DOE25'!H655+'DOE25'!H660=0,0,ROUND('DOE25'!H662,0))</f>
        <v>11717</v>
      </c>
    </row>
    <row r="7" spans="1:4" x14ac:dyDescent="0.2">
      <c r="B7" t="s">
        <v>736</v>
      </c>
      <c r="C7" s="179">
        <f>IF('DOE25'!I655+'DOE25'!I660=0,0,ROUND('DOE25'!I662,0))</f>
        <v>11309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13626784</v>
      </c>
      <c r="D10" s="182">
        <f>ROUND((C10/$C$28)*100,1)</f>
        <v>41.9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5070261</v>
      </c>
      <c r="D11" s="182">
        <f>ROUND((C11/$C$28)*100,1)</f>
        <v>15.6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1122392</v>
      </c>
      <c r="D12" s="182">
        <f>ROUND((C12/$C$28)*100,1)</f>
        <v>3.5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357365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2788013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558675</v>
      </c>
      <c r="D16" s="182">
        <f t="shared" si="0"/>
        <v>1.7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2876414</v>
      </c>
      <c r="D17" s="182">
        <f t="shared" si="0"/>
        <v>8.8000000000000007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1753121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2660062</v>
      </c>
      <c r="D20" s="182">
        <f t="shared" si="0"/>
        <v>8.1999999999999993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833231</v>
      </c>
      <c r="D21" s="182">
        <f t="shared" si="0"/>
        <v>2.6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594330</v>
      </c>
      <c r="D25" s="182">
        <f t="shared" si="0"/>
        <v>1.8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270488.70999999996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32511136.710000001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389717</v>
      </c>
    </row>
    <row r="30" spans="1:4" x14ac:dyDescent="0.2">
      <c r="B30" s="187" t="s">
        <v>760</v>
      </c>
      <c r="C30" s="180">
        <f>SUM(C28:C29)</f>
        <v>32900853.710000001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1120302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18356991</v>
      </c>
      <c r="D35" s="182">
        <f t="shared" ref="D35:D40" si="1">ROUND((C35/$C$41)*100,1)</f>
        <v>53.9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1041128.3999999985</v>
      </c>
      <c r="D36" s="182">
        <f t="shared" si="1"/>
        <v>3.1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9246135</v>
      </c>
      <c r="D37" s="182">
        <f t="shared" si="1"/>
        <v>27.1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3517229</v>
      </c>
      <c r="D38" s="182">
        <f t="shared" si="1"/>
        <v>10.3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1922870</v>
      </c>
      <c r="D39" s="182">
        <f t="shared" si="1"/>
        <v>5.6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250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34084603.399999999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3F72-F2AB-4236-8C8C-AD3D199DE886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Milford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1</v>
      </c>
      <c r="B5" s="220">
        <v>29</v>
      </c>
      <c r="C5" s="280" t="s">
        <v>894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2010-09-01T17:59:08Z</cp:lastPrinted>
  <dcterms:created xsi:type="dcterms:W3CDTF">1997-12-04T19:04:30Z</dcterms:created>
  <dcterms:modified xsi:type="dcterms:W3CDTF">2025-01-09T20:10:44Z</dcterms:modified>
</cp:coreProperties>
</file>