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0AE28381-93E0-41D1-862F-AE01A723DEF1}" xr6:coauthVersionLast="47" xr6:coauthVersionMax="47" xr10:uidLastSave="{00000000-0000-0000-0000-000000000000}"/>
  <workbookProtection workbookPassword="B70A" lockStructure="1"/>
  <bookViews>
    <workbookView xWindow="28680" yWindow="-120" windowWidth="29040" windowHeight="15990" tabRatio="855" xr2:uid="{AF647DE3-F475-4D77-B462-099874FD21B5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I458" i="1"/>
  <c r="I171" i="1"/>
  <c r="K257" i="1"/>
  <c r="B19" i="12"/>
  <c r="B22" i="12" s="1"/>
  <c r="C10" i="12"/>
  <c r="C13" i="12" s="1"/>
  <c r="B10" i="12"/>
  <c r="B13" i="12" s="1"/>
  <c r="H513" i="1"/>
  <c r="H514" i="1" s="1"/>
  <c r="H535" i="1" s="1"/>
  <c r="H512" i="1"/>
  <c r="H511" i="1"/>
  <c r="F225" i="1"/>
  <c r="F212" i="1"/>
  <c r="L212" i="1" s="1"/>
  <c r="H594" i="1"/>
  <c r="J594" i="1"/>
  <c r="I594" i="1"/>
  <c r="H236" i="1"/>
  <c r="H218" i="1"/>
  <c r="L218" i="1" s="1"/>
  <c r="H200" i="1"/>
  <c r="L200" i="1" s="1"/>
  <c r="G225" i="1"/>
  <c r="I225" i="1"/>
  <c r="I239" i="1" s="1"/>
  <c r="H225" i="1"/>
  <c r="J225" i="1"/>
  <c r="I226" i="1"/>
  <c r="H226" i="1"/>
  <c r="L226" i="1" s="1"/>
  <c r="G226" i="1"/>
  <c r="F226" i="1"/>
  <c r="J231" i="1"/>
  <c r="I231" i="1"/>
  <c r="H231" i="1"/>
  <c r="G231" i="1"/>
  <c r="F231" i="1"/>
  <c r="L231" i="1" s="1"/>
  <c r="F235" i="1"/>
  <c r="L235" i="1" s="1"/>
  <c r="G235" i="1"/>
  <c r="H235" i="1"/>
  <c r="I235" i="1"/>
  <c r="J235" i="1"/>
  <c r="F14" i="13" s="1"/>
  <c r="J217" i="1"/>
  <c r="I217" i="1"/>
  <c r="H217" i="1"/>
  <c r="G217" i="1"/>
  <c r="F217" i="1"/>
  <c r="I213" i="1"/>
  <c r="H213" i="1"/>
  <c r="G213" i="1"/>
  <c r="F213" i="1"/>
  <c r="H230" i="1"/>
  <c r="K226" i="1"/>
  <c r="K208" i="1"/>
  <c r="K221" i="1" s="1"/>
  <c r="K249" i="1" s="1"/>
  <c r="K263" i="1" s="1"/>
  <c r="I208" i="1"/>
  <c r="H208" i="1"/>
  <c r="G208" i="1"/>
  <c r="F208" i="1"/>
  <c r="J207" i="1"/>
  <c r="J221" i="1" s="1"/>
  <c r="I207" i="1"/>
  <c r="I221" i="1" s="1"/>
  <c r="H207" i="1"/>
  <c r="G207" i="1"/>
  <c r="G221" i="1" s="1"/>
  <c r="F207" i="1"/>
  <c r="K190" i="1"/>
  <c r="J199" i="1"/>
  <c r="J195" i="1"/>
  <c r="F7" i="13" s="1"/>
  <c r="J189" i="1"/>
  <c r="I189" i="1"/>
  <c r="I190" i="1"/>
  <c r="I194" i="1"/>
  <c r="I195" i="1"/>
  <c r="I199" i="1"/>
  <c r="H199" i="1"/>
  <c r="H195" i="1"/>
  <c r="H194" i="1"/>
  <c r="H190" i="1"/>
  <c r="H189" i="1"/>
  <c r="G189" i="1"/>
  <c r="G203" i="1" s="1"/>
  <c r="G249" i="1" s="1"/>
  <c r="G263" i="1" s="1"/>
  <c r="G190" i="1"/>
  <c r="G195" i="1"/>
  <c r="G197" i="1"/>
  <c r="G199" i="1"/>
  <c r="F199" i="1"/>
  <c r="F195" i="1"/>
  <c r="L195" i="1" s="1"/>
  <c r="F190" i="1"/>
  <c r="F189" i="1"/>
  <c r="L189" i="1" s="1"/>
  <c r="I513" i="1"/>
  <c r="G230" i="1"/>
  <c r="F230" i="1"/>
  <c r="H293" i="1"/>
  <c r="H301" i="1" s="1"/>
  <c r="H312" i="1"/>
  <c r="J306" i="1"/>
  <c r="I306" i="1"/>
  <c r="H306" i="1"/>
  <c r="J268" i="1"/>
  <c r="J282" i="1" s="1"/>
  <c r="I268" i="1"/>
  <c r="I282" i="1" s="1"/>
  <c r="I330" i="1" s="1"/>
  <c r="I344" i="1" s="1"/>
  <c r="H268" i="1"/>
  <c r="H282" i="1" s="1"/>
  <c r="F268" i="1"/>
  <c r="C60" i="2"/>
  <c r="B2" i="13"/>
  <c r="F8" i="13"/>
  <c r="G8" i="13"/>
  <c r="E8" i="13" s="1"/>
  <c r="L196" i="1"/>
  <c r="L214" i="1"/>
  <c r="L232" i="1"/>
  <c r="D39" i="13"/>
  <c r="F13" i="13"/>
  <c r="G13" i="13"/>
  <c r="L198" i="1"/>
  <c r="E13" i="13" s="1"/>
  <c r="C13" i="13" s="1"/>
  <c r="L216" i="1"/>
  <c r="L234" i="1"/>
  <c r="F16" i="13"/>
  <c r="G16" i="13"/>
  <c r="L201" i="1"/>
  <c r="C17" i="10" s="1"/>
  <c r="L219" i="1"/>
  <c r="L237" i="1"/>
  <c r="G6" i="13"/>
  <c r="G7" i="13"/>
  <c r="G12" i="13"/>
  <c r="G14" i="13"/>
  <c r="G15" i="13"/>
  <c r="G17" i="13"/>
  <c r="G18" i="13"/>
  <c r="G19" i="13"/>
  <c r="G29" i="13"/>
  <c r="L190" i="1"/>
  <c r="L191" i="1"/>
  <c r="C12" i="10" s="1"/>
  <c r="L192" i="1"/>
  <c r="C104" i="2" s="1"/>
  <c r="L207" i="1"/>
  <c r="L209" i="1"/>
  <c r="L210" i="1"/>
  <c r="L225" i="1"/>
  <c r="L239" i="1" s="1"/>
  <c r="H650" i="1" s="1"/>
  <c r="H654" i="1" s="1"/>
  <c r="L227" i="1"/>
  <c r="L228" i="1"/>
  <c r="F6" i="13"/>
  <c r="L194" i="1"/>
  <c r="L230" i="1"/>
  <c r="L213" i="1"/>
  <c r="F12" i="13"/>
  <c r="L197" i="1"/>
  <c r="L215" i="1"/>
  <c r="L233" i="1"/>
  <c r="C18" i="10" s="1"/>
  <c r="L199" i="1"/>
  <c r="L217" i="1"/>
  <c r="F15" i="13"/>
  <c r="L236" i="1"/>
  <c r="F17" i="13"/>
  <c r="D17" i="13"/>
  <c r="C17" i="13"/>
  <c r="L243" i="1"/>
  <c r="C106" i="2" s="1"/>
  <c r="F18" i="13"/>
  <c r="L244" i="1"/>
  <c r="D18" i="13" s="1"/>
  <c r="C18" i="13" s="1"/>
  <c r="F19" i="13"/>
  <c r="L245" i="1"/>
  <c r="D19" i="13" s="1"/>
  <c r="C19" i="13" s="1"/>
  <c r="F29" i="13"/>
  <c r="L350" i="1"/>
  <c r="F651" i="1" s="1"/>
  <c r="I651" i="1" s="1"/>
  <c r="L351" i="1"/>
  <c r="D29" i="13" s="1"/>
  <c r="C29" i="13" s="1"/>
  <c r="L352" i="1"/>
  <c r="I359" i="1"/>
  <c r="J301" i="1"/>
  <c r="J320" i="1"/>
  <c r="K282" i="1"/>
  <c r="G31" i="13" s="1"/>
  <c r="K301" i="1"/>
  <c r="K320" i="1"/>
  <c r="L268" i="1"/>
  <c r="L282" i="1" s="1"/>
  <c r="L269" i="1"/>
  <c r="E102" i="2" s="1"/>
  <c r="L270" i="1"/>
  <c r="E103" i="2" s="1"/>
  <c r="L271" i="1"/>
  <c r="E104" i="2" s="1"/>
  <c r="L273" i="1"/>
  <c r="L274" i="1"/>
  <c r="L275" i="1"/>
  <c r="L276" i="1"/>
  <c r="E113" i="2" s="1"/>
  <c r="L277" i="1"/>
  <c r="L278" i="1"/>
  <c r="L279" i="1"/>
  <c r="L280" i="1"/>
  <c r="L287" i="1"/>
  <c r="L288" i="1"/>
  <c r="L289" i="1"/>
  <c r="L290" i="1"/>
  <c r="L292" i="1"/>
  <c r="L294" i="1"/>
  <c r="L295" i="1"/>
  <c r="L296" i="1"/>
  <c r="L297" i="1"/>
  <c r="L298" i="1"/>
  <c r="L299" i="1"/>
  <c r="L306" i="1"/>
  <c r="L320" i="1" s="1"/>
  <c r="L307" i="1"/>
  <c r="L308" i="1"/>
  <c r="L309" i="1"/>
  <c r="L311" i="1"/>
  <c r="L312" i="1"/>
  <c r="L313" i="1"/>
  <c r="L314" i="1"/>
  <c r="L315" i="1"/>
  <c r="L316" i="1"/>
  <c r="L317" i="1"/>
  <c r="L318" i="1"/>
  <c r="L325" i="1"/>
  <c r="L326" i="1"/>
  <c r="L327" i="1"/>
  <c r="L252" i="1"/>
  <c r="H25" i="13" s="1"/>
  <c r="L253" i="1"/>
  <c r="L333" i="1"/>
  <c r="L334" i="1"/>
  <c r="C25" i="10" s="1"/>
  <c r="L247" i="1"/>
  <c r="L328" i="1"/>
  <c r="F22" i="13" s="1"/>
  <c r="C22" i="13" s="1"/>
  <c r="C11" i="13"/>
  <c r="C10" i="13"/>
  <c r="C9" i="13"/>
  <c r="L353" i="1"/>
  <c r="B4" i="12"/>
  <c r="B36" i="12"/>
  <c r="C36" i="12"/>
  <c r="A40" i="12" s="1"/>
  <c r="B40" i="12"/>
  <c r="C40" i="12"/>
  <c r="B27" i="12"/>
  <c r="C27" i="12"/>
  <c r="A31" i="12"/>
  <c r="B31" i="12"/>
  <c r="C31" i="12"/>
  <c r="B9" i="12"/>
  <c r="B18" i="12"/>
  <c r="C18" i="12"/>
  <c r="C22" i="12"/>
  <c r="B1" i="12"/>
  <c r="L379" i="1"/>
  <c r="L380" i="1"/>
  <c r="L381" i="1"/>
  <c r="L382" i="1"/>
  <c r="L383" i="1"/>
  <c r="L384" i="1"/>
  <c r="L385" i="1"/>
  <c r="C130" i="2" s="1"/>
  <c r="L387" i="1"/>
  <c r="L388" i="1"/>
  <c r="L389" i="1"/>
  <c r="L390" i="1"/>
  <c r="L393" i="1" s="1"/>
  <c r="C131" i="2" s="1"/>
  <c r="L391" i="1"/>
  <c r="L392" i="1"/>
  <c r="L395" i="1"/>
  <c r="L396" i="1"/>
  <c r="L397" i="1"/>
  <c r="L398" i="1"/>
  <c r="L399" i="1"/>
  <c r="C132" i="2" s="1"/>
  <c r="L258" i="1"/>
  <c r="J52" i="1"/>
  <c r="G48" i="2"/>
  <c r="G51" i="2"/>
  <c r="G54" i="2" s="1"/>
  <c r="G55" i="2" s="1"/>
  <c r="G96" i="2" s="1"/>
  <c r="G53" i="2"/>
  <c r="F2" i="11"/>
  <c r="L603" i="1"/>
  <c r="H653" i="1"/>
  <c r="L602" i="1"/>
  <c r="G653" i="1" s="1"/>
  <c r="I653" i="1" s="1"/>
  <c r="L601" i="1"/>
  <c r="F653" i="1"/>
  <c r="C40" i="10"/>
  <c r="C37" i="10"/>
  <c r="F52" i="1"/>
  <c r="C35" i="10" s="1"/>
  <c r="G52" i="1"/>
  <c r="H52" i="1"/>
  <c r="I52" i="1"/>
  <c r="F71" i="1"/>
  <c r="F86" i="1"/>
  <c r="C50" i="2" s="1"/>
  <c r="C54" i="2" s="1"/>
  <c r="F103" i="1"/>
  <c r="G103" i="1"/>
  <c r="G104" i="1" s="1"/>
  <c r="H71" i="1"/>
  <c r="H86" i="1"/>
  <c r="H103" i="1"/>
  <c r="I103" i="1"/>
  <c r="I104" i="1" s="1"/>
  <c r="I185" i="1" s="1"/>
  <c r="G620" i="1" s="1"/>
  <c r="J620" i="1" s="1"/>
  <c r="J103" i="1"/>
  <c r="J104" i="1" s="1"/>
  <c r="F113" i="1"/>
  <c r="F132" i="1" s="1"/>
  <c r="F128" i="1"/>
  <c r="G113" i="1"/>
  <c r="G132" i="1" s="1"/>
  <c r="G128" i="1"/>
  <c r="H113" i="1"/>
  <c r="H132" i="1" s="1"/>
  <c r="H128" i="1"/>
  <c r="I113" i="1"/>
  <c r="I128" i="1"/>
  <c r="I132" i="1"/>
  <c r="J113" i="1"/>
  <c r="J132" i="1" s="1"/>
  <c r="J128" i="1"/>
  <c r="F139" i="1"/>
  <c r="C77" i="2" s="1"/>
  <c r="C83" i="2" s="1"/>
  <c r="F154" i="1"/>
  <c r="G139" i="1"/>
  <c r="G161" i="1" s="1"/>
  <c r="G154" i="1"/>
  <c r="H139" i="1"/>
  <c r="H154" i="1"/>
  <c r="H161" i="1"/>
  <c r="I139" i="1"/>
  <c r="I161" i="1" s="1"/>
  <c r="I154" i="1"/>
  <c r="C24" i="10"/>
  <c r="L242" i="1"/>
  <c r="L324" i="1"/>
  <c r="E105" i="2" s="1"/>
  <c r="L246" i="1"/>
  <c r="L260" i="1"/>
  <c r="C134" i="2" s="1"/>
  <c r="L261" i="1"/>
  <c r="L341" i="1"/>
  <c r="L342" i="1"/>
  <c r="E135" i="2" s="1"/>
  <c r="I655" i="1"/>
  <c r="I660" i="1"/>
  <c r="G651" i="1"/>
  <c r="H651" i="1"/>
  <c r="H652" i="1"/>
  <c r="I659" i="1"/>
  <c r="C42" i="10"/>
  <c r="C32" i="10"/>
  <c r="L366" i="1"/>
  <c r="L367" i="1"/>
  <c r="L368" i="1"/>
  <c r="L369" i="1"/>
  <c r="L370" i="1"/>
  <c r="L374" i="1" s="1"/>
  <c r="G626" i="1" s="1"/>
  <c r="J626" i="1" s="1"/>
  <c r="L371" i="1"/>
  <c r="L372" i="1"/>
  <c r="B2" i="10"/>
  <c r="L336" i="1"/>
  <c r="L337" i="1"/>
  <c r="L343" i="1"/>
  <c r="L338" i="1"/>
  <c r="L339" i="1"/>
  <c r="K343" i="1"/>
  <c r="L511" i="1"/>
  <c r="F539" i="1"/>
  <c r="K539" i="1" s="1"/>
  <c r="L512" i="1"/>
  <c r="L514" i="1" s="1"/>
  <c r="L513" i="1"/>
  <c r="F541" i="1" s="1"/>
  <c r="L516" i="1"/>
  <c r="G539" i="1"/>
  <c r="L517" i="1"/>
  <c r="G540" i="1" s="1"/>
  <c r="G542" i="1" s="1"/>
  <c r="L518" i="1"/>
  <c r="G541" i="1" s="1"/>
  <c r="L521" i="1"/>
  <c r="H539" i="1"/>
  <c r="L522" i="1"/>
  <c r="L524" i="1" s="1"/>
  <c r="L523" i="1"/>
  <c r="H541" i="1" s="1"/>
  <c r="L526" i="1"/>
  <c r="I539" i="1"/>
  <c r="L527" i="1"/>
  <c r="I540" i="1" s="1"/>
  <c r="I542" i="1" s="1"/>
  <c r="L528" i="1"/>
  <c r="I541" i="1" s="1"/>
  <c r="L531" i="1"/>
  <c r="J539" i="1"/>
  <c r="L532" i="1"/>
  <c r="J540" i="1" s="1"/>
  <c r="J542" i="1" s="1"/>
  <c r="L533" i="1"/>
  <c r="J541" i="1" s="1"/>
  <c r="E123" i="2"/>
  <c r="K262" i="1"/>
  <c r="L262" i="1" s="1"/>
  <c r="J262" i="1"/>
  <c r="I262" i="1"/>
  <c r="H262" i="1"/>
  <c r="G262" i="1"/>
  <c r="F262" i="1"/>
  <c r="C124" i="2"/>
  <c r="C123" i="2"/>
  <c r="A1" i="2"/>
  <c r="A2" i="2"/>
  <c r="C9" i="2"/>
  <c r="D9" i="2"/>
  <c r="D19" i="2" s="1"/>
  <c r="E9" i="2"/>
  <c r="E19" i="2" s="1"/>
  <c r="F9" i="2"/>
  <c r="I431" i="1"/>
  <c r="J9" i="1" s="1"/>
  <c r="C10" i="2"/>
  <c r="D10" i="2"/>
  <c r="E10" i="2"/>
  <c r="F10" i="2"/>
  <c r="F19" i="2" s="1"/>
  <c r="I432" i="1"/>
  <c r="J10" i="1" s="1"/>
  <c r="G10" i="2" s="1"/>
  <c r="C11" i="2"/>
  <c r="C12" i="2"/>
  <c r="D12" i="2"/>
  <c r="E12" i="2"/>
  <c r="F12" i="2"/>
  <c r="I433" i="1"/>
  <c r="J12" i="1"/>
  <c r="G12" i="2" s="1"/>
  <c r="C13" i="2"/>
  <c r="D13" i="2"/>
  <c r="E13" i="2"/>
  <c r="F13" i="2"/>
  <c r="I434" i="1"/>
  <c r="J13" i="1" s="1"/>
  <c r="G13" i="2" s="1"/>
  <c r="C14" i="2"/>
  <c r="D14" i="2"/>
  <c r="E14" i="2"/>
  <c r="F14" i="2"/>
  <c r="I435" i="1"/>
  <c r="J14" i="1"/>
  <c r="G14" i="2" s="1"/>
  <c r="F15" i="2"/>
  <c r="C16" i="2"/>
  <c r="C17" i="2"/>
  <c r="C18" i="2"/>
  <c r="C19" i="2"/>
  <c r="D16" i="2"/>
  <c r="E16" i="2"/>
  <c r="F16" i="2"/>
  <c r="D17" i="2"/>
  <c r="E17" i="2"/>
  <c r="F17" i="2"/>
  <c r="I436" i="1"/>
  <c r="J17" i="1" s="1"/>
  <c r="G17" i="2" s="1"/>
  <c r="D18" i="2"/>
  <c r="E18" i="2"/>
  <c r="F18" i="2"/>
  <c r="I437" i="1"/>
  <c r="J18" i="1"/>
  <c r="G18" i="2" s="1"/>
  <c r="C22" i="2"/>
  <c r="C23" i="2"/>
  <c r="C24" i="2"/>
  <c r="C32" i="2" s="1"/>
  <c r="C25" i="2"/>
  <c r="C26" i="2"/>
  <c r="C27" i="2"/>
  <c r="C28" i="2"/>
  <c r="C29" i="2"/>
  <c r="C30" i="2"/>
  <c r="C31" i="2"/>
  <c r="D22" i="2"/>
  <c r="E22" i="2"/>
  <c r="E23" i="2"/>
  <c r="E24" i="2"/>
  <c r="E32" i="2" s="1"/>
  <c r="E25" i="2"/>
  <c r="E28" i="2"/>
  <c r="E29" i="2"/>
  <c r="E30" i="2"/>
  <c r="E31" i="2"/>
  <c r="F22" i="2"/>
  <c r="I440" i="1"/>
  <c r="J23" i="1" s="1"/>
  <c r="D23" i="2"/>
  <c r="F23" i="2"/>
  <c r="I441" i="1"/>
  <c r="J24" i="1" s="1"/>
  <c r="G23" i="2" s="1"/>
  <c r="D24" i="2"/>
  <c r="D25" i="2"/>
  <c r="D28" i="2"/>
  <c r="D32" i="2" s="1"/>
  <c r="D29" i="2"/>
  <c r="D30" i="2"/>
  <c r="D31" i="2"/>
  <c r="F24" i="2"/>
  <c r="F25" i="2"/>
  <c r="F26" i="2"/>
  <c r="F32" i="2" s="1"/>
  <c r="F27" i="2"/>
  <c r="F28" i="2"/>
  <c r="F29" i="2"/>
  <c r="F30" i="2"/>
  <c r="F31" i="2"/>
  <c r="F34" i="2"/>
  <c r="F42" i="2" s="1"/>
  <c r="F35" i="2"/>
  <c r="F36" i="2"/>
  <c r="F37" i="2"/>
  <c r="F38" i="2"/>
  <c r="F40" i="2"/>
  <c r="F41" i="2"/>
  <c r="I442" i="1"/>
  <c r="J25" i="1"/>
  <c r="G24" i="2" s="1"/>
  <c r="I443" i="1"/>
  <c r="J32" i="1"/>
  <c r="G31" i="2" s="1"/>
  <c r="C34" i="2"/>
  <c r="C35" i="2"/>
  <c r="C36" i="2"/>
  <c r="C42" i="2" s="1"/>
  <c r="C37" i="2"/>
  <c r="C38" i="2"/>
  <c r="C40" i="2"/>
  <c r="C41" i="2"/>
  <c r="D34" i="2"/>
  <c r="D42" i="2" s="1"/>
  <c r="D43" i="2" s="1"/>
  <c r="E34" i="2"/>
  <c r="E42" i="2" s="1"/>
  <c r="E43" i="2" s="1"/>
  <c r="E35" i="2"/>
  <c r="E36" i="2"/>
  <c r="E37" i="2"/>
  <c r="E38" i="2"/>
  <c r="E40" i="2"/>
  <c r="E41" i="2"/>
  <c r="D35" i="2"/>
  <c r="D36" i="2"/>
  <c r="I446" i="1"/>
  <c r="J37" i="1"/>
  <c r="G36" i="2" s="1"/>
  <c r="D37" i="2"/>
  <c r="D38" i="2"/>
  <c r="D40" i="2"/>
  <c r="D41" i="2"/>
  <c r="I447" i="1"/>
  <c r="J38" i="1"/>
  <c r="G37" i="2" s="1"/>
  <c r="I448" i="1"/>
  <c r="J40" i="1"/>
  <c r="G39" i="2"/>
  <c r="I449" i="1"/>
  <c r="J41" i="1" s="1"/>
  <c r="D48" i="2"/>
  <c r="E48" i="2"/>
  <c r="E55" i="2" s="1"/>
  <c r="E96" i="2" s="1"/>
  <c r="F48" i="2"/>
  <c r="C49" i="2"/>
  <c r="C51" i="2"/>
  <c r="C53" i="2"/>
  <c r="E49" i="2"/>
  <c r="E54" i="2" s="1"/>
  <c r="E50" i="2"/>
  <c r="D51" i="2"/>
  <c r="E51" i="2"/>
  <c r="E53" i="2"/>
  <c r="F51" i="2"/>
  <c r="D52" i="2"/>
  <c r="D54" i="2" s="1"/>
  <c r="D53" i="2"/>
  <c r="F53" i="2"/>
  <c r="F54" i="2" s="1"/>
  <c r="F55" i="2" s="1"/>
  <c r="C58" i="2"/>
  <c r="C59" i="2"/>
  <c r="C61" i="2"/>
  <c r="D61" i="2"/>
  <c r="E61" i="2"/>
  <c r="E62" i="2"/>
  <c r="F61" i="2"/>
  <c r="F62" i="2" s="1"/>
  <c r="G61" i="2"/>
  <c r="G62" i="2"/>
  <c r="D62" i="2"/>
  <c r="C64" i="2"/>
  <c r="C70" i="2" s="1"/>
  <c r="C73" i="2" s="1"/>
  <c r="F64" i="2"/>
  <c r="F70" i="2" s="1"/>
  <c r="F73" i="2" s="1"/>
  <c r="C65" i="2"/>
  <c r="F65" i="2"/>
  <c r="C66" i="2"/>
  <c r="C67" i="2"/>
  <c r="C68" i="2"/>
  <c r="E68" i="2"/>
  <c r="E70" i="2" s="1"/>
  <c r="E73" i="2" s="1"/>
  <c r="F68" i="2"/>
  <c r="C69" i="2"/>
  <c r="C71" i="2"/>
  <c r="C72" i="2"/>
  <c r="C62" i="2"/>
  <c r="D69" i="2"/>
  <c r="D70" i="2" s="1"/>
  <c r="D73" i="2" s="1"/>
  <c r="D71" i="2"/>
  <c r="E69" i="2"/>
  <c r="F69" i="2"/>
  <c r="G69" i="2"/>
  <c r="G70" i="2" s="1"/>
  <c r="G73" i="2" s="1"/>
  <c r="E71" i="2"/>
  <c r="E72" i="2"/>
  <c r="E77" i="2"/>
  <c r="E83" i="2" s="1"/>
  <c r="E79" i="2"/>
  <c r="E80" i="2"/>
  <c r="E81" i="2"/>
  <c r="C79" i="2"/>
  <c r="F79" i="2"/>
  <c r="F80" i="2"/>
  <c r="F81" i="2"/>
  <c r="C80" i="2"/>
  <c r="D80" i="2"/>
  <c r="C81" i="2"/>
  <c r="D81" i="2"/>
  <c r="C82" i="2"/>
  <c r="C85" i="2"/>
  <c r="C86" i="2"/>
  <c r="C89" i="2"/>
  <c r="C95" i="2" s="1"/>
  <c r="C90" i="2"/>
  <c r="C91" i="2"/>
  <c r="C92" i="2"/>
  <c r="C93" i="2"/>
  <c r="C94" i="2"/>
  <c r="F85" i="2"/>
  <c r="F95" i="2" s="1"/>
  <c r="F86" i="2"/>
  <c r="D88" i="2"/>
  <c r="E88" i="2"/>
  <c r="F88" i="2"/>
  <c r="G88" i="2"/>
  <c r="G95" i="2" s="1"/>
  <c r="D89" i="2"/>
  <c r="E89" i="2"/>
  <c r="F89" i="2"/>
  <c r="G89" i="2"/>
  <c r="D90" i="2"/>
  <c r="D95" i="2" s="1"/>
  <c r="E90" i="2"/>
  <c r="E95" i="2" s="1"/>
  <c r="E91" i="2"/>
  <c r="E92" i="2"/>
  <c r="E93" i="2"/>
  <c r="E94" i="2"/>
  <c r="G90" i="2"/>
  <c r="D91" i="2"/>
  <c r="F91" i="2"/>
  <c r="D92" i="2"/>
  <c r="F92" i="2"/>
  <c r="D93" i="2"/>
  <c r="F93" i="2"/>
  <c r="D94" i="2"/>
  <c r="F94" i="2"/>
  <c r="E101" i="2"/>
  <c r="E106" i="2"/>
  <c r="C103" i="2"/>
  <c r="C105" i="2"/>
  <c r="D107" i="2"/>
  <c r="F107" i="2"/>
  <c r="G107" i="2"/>
  <c r="E110" i="2"/>
  <c r="C112" i="2"/>
  <c r="E112" i="2"/>
  <c r="E114" i="2"/>
  <c r="E115" i="2"/>
  <c r="E116" i="2"/>
  <c r="E117" i="2"/>
  <c r="D119" i="2"/>
  <c r="D120" i="2" s="1"/>
  <c r="D137" i="2" s="1"/>
  <c r="D126" i="2"/>
  <c r="D136" i="2"/>
  <c r="F120" i="2"/>
  <c r="G120" i="2"/>
  <c r="G137" i="2" s="1"/>
  <c r="C122" i="2"/>
  <c r="E122" i="2"/>
  <c r="F122" i="2"/>
  <c r="F136" i="2" s="1"/>
  <c r="F137" i="2" s="1"/>
  <c r="F126" i="2"/>
  <c r="E126" i="2"/>
  <c r="K411" i="1"/>
  <c r="K419" i="1"/>
  <c r="K426" i="1"/>
  <c r="G126" i="2" s="1"/>
  <c r="G136" i="2" s="1"/>
  <c r="K425" i="1"/>
  <c r="L255" i="1"/>
  <c r="C127" i="2" s="1"/>
  <c r="E127" i="2"/>
  <c r="L256" i="1"/>
  <c r="C128" i="2" s="1"/>
  <c r="L257" i="1"/>
  <c r="C129" i="2"/>
  <c r="E129" i="2"/>
  <c r="E134" i="2"/>
  <c r="C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G149" i="2" s="1"/>
  <c r="C149" i="2"/>
  <c r="D149" i="2"/>
  <c r="E149" i="2"/>
  <c r="F149" i="2"/>
  <c r="B150" i="2"/>
  <c r="G150" i="2" s="1"/>
  <c r="C150" i="2"/>
  <c r="D150" i="2"/>
  <c r="E150" i="2"/>
  <c r="F150" i="2"/>
  <c r="B151" i="2"/>
  <c r="C151" i="2"/>
  <c r="G151" i="2" s="1"/>
  <c r="D151" i="2"/>
  <c r="E151" i="2"/>
  <c r="F151" i="2"/>
  <c r="B152" i="2"/>
  <c r="C152" i="2"/>
  <c r="G152" i="2" s="1"/>
  <c r="D152" i="2"/>
  <c r="E152" i="2"/>
  <c r="F152" i="2"/>
  <c r="F490" i="1"/>
  <c r="B153" i="2"/>
  <c r="G490" i="1"/>
  <c r="C153" i="2" s="1"/>
  <c r="G153" i="2" s="1"/>
  <c r="H490" i="1"/>
  <c r="D153" i="2" s="1"/>
  <c r="I490" i="1"/>
  <c r="E153" i="2"/>
  <c r="J490" i="1"/>
  <c r="F153" i="2"/>
  <c r="B154" i="2"/>
  <c r="G154" i="2" s="1"/>
  <c r="C154" i="2"/>
  <c r="D154" i="2"/>
  <c r="E154" i="2"/>
  <c r="F154" i="2"/>
  <c r="B155" i="2"/>
  <c r="C155" i="2"/>
  <c r="D155" i="2"/>
  <c r="E155" i="2"/>
  <c r="G155" i="2" s="1"/>
  <c r="F155" i="2"/>
  <c r="F493" i="1"/>
  <c r="K493" i="1" s="1"/>
  <c r="G493" i="1"/>
  <c r="C156" i="2"/>
  <c r="H493" i="1"/>
  <c r="D156" i="2" s="1"/>
  <c r="I493" i="1"/>
  <c r="E156" i="2" s="1"/>
  <c r="J493" i="1"/>
  <c r="F156" i="2"/>
  <c r="F19" i="1"/>
  <c r="G19" i="1"/>
  <c r="G608" i="1" s="1"/>
  <c r="H19" i="1"/>
  <c r="G609" i="1" s="1"/>
  <c r="I19" i="1"/>
  <c r="F33" i="1"/>
  <c r="G33" i="1"/>
  <c r="H33" i="1"/>
  <c r="H44" i="1" s="1"/>
  <c r="H609" i="1" s="1"/>
  <c r="I33" i="1"/>
  <c r="F43" i="1"/>
  <c r="G43" i="1"/>
  <c r="H43" i="1"/>
  <c r="I43" i="1"/>
  <c r="G615" i="1" s="1"/>
  <c r="J615" i="1" s="1"/>
  <c r="G44" i="1"/>
  <c r="H608" i="1" s="1"/>
  <c r="F169" i="1"/>
  <c r="I169" i="1"/>
  <c r="F175" i="1"/>
  <c r="F184" i="1"/>
  <c r="G175" i="1"/>
  <c r="G184" i="1" s="1"/>
  <c r="H175" i="1"/>
  <c r="H184" i="1" s="1"/>
  <c r="I175" i="1"/>
  <c r="I184" i="1"/>
  <c r="J175" i="1"/>
  <c r="G635" i="1" s="1"/>
  <c r="F180" i="1"/>
  <c r="G180" i="1"/>
  <c r="H180" i="1"/>
  <c r="I180" i="1"/>
  <c r="H203" i="1"/>
  <c r="I203" i="1"/>
  <c r="K203" i="1"/>
  <c r="H221" i="1"/>
  <c r="G239" i="1"/>
  <c r="K239" i="1"/>
  <c r="F248" i="1"/>
  <c r="L248" i="1" s="1"/>
  <c r="G248" i="1"/>
  <c r="H248" i="1"/>
  <c r="I248" i="1"/>
  <c r="J248" i="1"/>
  <c r="K248" i="1"/>
  <c r="F282" i="1"/>
  <c r="F330" i="1" s="1"/>
  <c r="F344" i="1" s="1"/>
  <c r="G282" i="1"/>
  <c r="F301" i="1"/>
  <c r="G301" i="1"/>
  <c r="I301" i="1"/>
  <c r="F320" i="1"/>
  <c r="G320" i="1"/>
  <c r="G330" i="1" s="1"/>
  <c r="G344" i="1" s="1"/>
  <c r="H320" i="1"/>
  <c r="I320" i="1"/>
  <c r="F329" i="1"/>
  <c r="G329" i="1"/>
  <c r="L329" i="1"/>
  <c r="H329" i="1"/>
  <c r="I329" i="1"/>
  <c r="J329" i="1"/>
  <c r="K329" i="1"/>
  <c r="K330" i="1"/>
  <c r="K344" i="1" s="1"/>
  <c r="F354" i="1"/>
  <c r="G354" i="1"/>
  <c r="H354" i="1"/>
  <c r="I354" i="1"/>
  <c r="G624" i="1" s="1"/>
  <c r="J624" i="1" s="1"/>
  <c r="J354" i="1"/>
  <c r="K354" i="1"/>
  <c r="I360" i="1"/>
  <c r="F361" i="1"/>
  <c r="G361" i="1"/>
  <c r="H361" i="1"/>
  <c r="I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G393" i="1"/>
  <c r="H393" i="1"/>
  <c r="I393" i="1"/>
  <c r="I400" i="1" s="1"/>
  <c r="F399" i="1"/>
  <c r="G399" i="1"/>
  <c r="H399" i="1"/>
  <c r="I399" i="1"/>
  <c r="F400" i="1"/>
  <c r="H633" i="1" s="1"/>
  <c r="G400" i="1"/>
  <c r="H635" i="1" s="1"/>
  <c r="H400" i="1"/>
  <c r="L405" i="1"/>
  <c r="L411" i="1" s="1"/>
  <c r="L426" i="1" s="1"/>
  <c r="G628" i="1" s="1"/>
  <c r="J628" i="1" s="1"/>
  <c r="L406" i="1"/>
  <c r="L407" i="1"/>
  <c r="L408" i="1"/>
  <c r="L409" i="1"/>
  <c r="L410" i="1"/>
  <c r="F411" i="1"/>
  <c r="G411" i="1"/>
  <c r="G426" i="1" s="1"/>
  <c r="H411" i="1"/>
  <c r="H426" i="1" s="1"/>
  <c r="I411" i="1"/>
  <c r="J411" i="1"/>
  <c r="J426" i="1" s="1"/>
  <c r="L413" i="1"/>
  <c r="L414" i="1"/>
  <c r="L415" i="1"/>
  <c r="L416" i="1"/>
  <c r="L417" i="1"/>
  <c r="L418" i="1"/>
  <c r="L419" i="1" s="1"/>
  <c r="F419" i="1"/>
  <c r="F426" i="1" s="1"/>
  <c r="G419" i="1"/>
  <c r="H419" i="1"/>
  <c r="I419" i="1"/>
  <c r="J419" i="1"/>
  <c r="L421" i="1"/>
  <c r="L425" i="1"/>
  <c r="L422" i="1"/>
  <c r="L423" i="1"/>
  <c r="L424" i="1"/>
  <c r="F425" i="1"/>
  <c r="G425" i="1"/>
  <c r="H425" i="1"/>
  <c r="I425" i="1"/>
  <c r="J425" i="1"/>
  <c r="I426" i="1"/>
  <c r="F438" i="1"/>
  <c r="G438" i="1"/>
  <c r="H438" i="1"/>
  <c r="F444" i="1"/>
  <c r="F451" i="1" s="1"/>
  <c r="H629" i="1" s="1"/>
  <c r="G444" i="1"/>
  <c r="G451" i="1" s="1"/>
  <c r="H630" i="1" s="1"/>
  <c r="J630" i="1" s="1"/>
  <c r="H444" i="1"/>
  <c r="H451" i="1" s="1"/>
  <c r="H631" i="1" s="1"/>
  <c r="J631" i="1" s="1"/>
  <c r="F450" i="1"/>
  <c r="G450" i="1"/>
  <c r="H450" i="1"/>
  <c r="I450" i="1"/>
  <c r="F460" i="1"/>
  <c r="F466" i="1" s="1"/>
  <c r="H612" i="1" s="1"/>
  <c r="G460" i="1"/>
  <c r="H460" i="1"/>
  <c r="H466" i="1" s="1"/>
  <c r="H614" i="1" s="1"/>
  <c r="I460" i="1"/>
  <c r="I466" i="1" s="1"/>
  <c r="H615" i="1" s="1"/>
  <c r="J460" i="1"/>
  <c r="F464" i="1"/>
  <c r="G464" i="1"/>
  <c r="H464" i="1"/>
  <c r="I464" i="1"/>
  <c r="J464" i="1"/>
  <c r="K485" i="1"/>
  <c r="K486" i="1"/>
  <c r="K487" i="1"/>
  <c r="K488" i="1"/>
  <c r="K489" i="1"/>
  <c r="K491" i="1"/>
  <c r="K492" i="1"/>
  <c r="F507" i="1"/>
  <c r="G507" i="1"/>
  <c r="H507" i="1"/>
  <c r="I507" i="1"/>
  <c r="F514" i="1"/>
  <c r="G514" i="1"/>
  <c r="G535" i="1" s="1"/>
  <c r="I514" i="1"/>
  <c r="J514" i="1"/>
  <c r="J535" i="1"/>
  <c r="K514" i="1"/>
  <c r="F519" i="1"/>
  <c r="G519" i="1"/>
  <c r="H519" i="1"/>
  <c r="I519" i="1"/>
  <c r="J519" i="1"/>
  <c r="K519" i="1"/>
  <c r="K535" i="1" s="1"/>
  <c r="F524" i="1"/>
  <c r="G524" i="1"/>
  <c r="H524" i="1"/>
  <c r="I524" i="1"/>
  <c r="J524" i="1"/>
  <c r="K524" i="1"/>
  <c r="F529" i="1"/>
  <c r="F535" i="1" s="1"/>
  <c r="G529" i="1"/>
  <c r="H529" i="1"/>
  <c r="I529" i="1"/>
  <c r="J529" i="1"/>
  <c r="K529" i="1"/>
  <c r="F534" i="1"/>
  <c r="G534" i="1"/>
  <c r="H534" i="1"/>
  <c r="I534" i="1"/>
  <c r="J534" i="1"/>
  <c r="K534" i="1"/>
  <c r="L534" i="1"/>
  <c r="I535" i="1"/>
  <c r="L547" i="1"/>
  <c r="L548" i="1"/>
  <c r="L550" i="1" s="1"/>
  <c r="L561" i="1" s="1"/>
  <c r="L549" i="1"/>
  <c r="F550" i="1"/>
  <c r="G550" i="1"/>
  <c r="H550" i="1"/>
  <c r="I550" i="1"/>
  <c r="I561" i="1" s="1"/>
  <c r="J550" i="1"/>
  <c r="K550" i="1"/>
  <c r="K561" i="1" s="1"/>
  <c r="L552" i="1"/>
  <c r="L553" i="1"/>
  <c r="L555" i="1" s="1"/>
  <c r="L554" i="1"/>
  <c r="F555" i="1"/>
  <c r="G555" i="1"/>
  <c r="G561" i="1" s="1"/>
  <c r="H555" i="1"/>
  <c r="I555" i="1"/>
  <c r="J555" i="1"/>
  <c r="K555" i="1"/>
  <c r="L557" i="1"/>
  <c r="L560" i="1" s="1"/>
  <c r="L558" i="1"/>
  <c r="L559" i="1"/>
  <c r="F560" i="1"/>
  <c r="F561" i="1" s="1"/>
  <c r="G560" i="1"/>
  <c r="H560" i="1"/>
  <c r="I560" i="1"/>
  <c r="J560" i="1"/>
  <c r="K560" i="1"/>
  <c r="H561" i="1"/>
  <c r="J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4" i="1"/>
  <c r="K585" i="1"/>
  <c r="K586" i="1"/>
  <c r="K587" i="1"/>
  <c r="H588" i="1"/>
  <c r="H639" i="1" s="1"/>
  <c r="I588" i="1"/>
  <c r="H640" i="1"/>
  <c r="J588" i="1"/>
  <c r="H641" i="1" s="1"/>
  <c r="J641" i="1" s="1"/>
  <c r="K592" i="1"/>
  <c r="K593" i="1"/>
  <c r="K594" i="1"/>
  <c r="K595" i="1"/>
  <c r="G638" i="1" s="1"/>
  <c r="H595" i="1"/>
  <c r="I595" i="1"/>
  <c r="J595" i="1"/>
  <c r="F604" i="1"/>
  <c r="G604" i="1"/>
  <c r="H604" i="1"/>
  <c r="I604" i="1"/>
  <c r="J604" i="1"/>
  <c r="K604" i="1"/>
  <c r="G607" i="1"/>
  <c r="J607" i="1" s="1"/>
  <c r="G610" i="1"/>
  <c r="G612" i="1"/>
  <c r="J612" i="1" s="1"/>
  <c r="G613" i="1"/>
  <c r="G614" i="1"/>
  <c r="J614" i="1" s="1"/>
  <c r="H617" i="1"/>
  <c r="H618" i="1"/>
  <c r="H619" i="1"/>
  <c r="H620" i="1"/>
  <c r="H621" i="1"/>
  <c r="H622" i="1"/>
  <c r="H623" i="1"/>
  <c r="H624" i="1"/>
  <c r="H625" i="1"/>
  <c r="H626" i="1"/>
  <c r="H627" i="1"/>
  <c r="H628" i="1"/>
  <c r="G629" i="1"/>
  <c r="G630" i="1"/>
  <c r="G631" i="1"/>
  <c r="G633" i="1"/>
  <c r="J633" i="1" s="1"/>
  <c r="G634" i="1"/>
  <c r="J634" i="1" s="1"/>
  <c r="H634" i="1"/>
  <c r="G641" i="1"/>
  <c r="G642" i="1"/>
  <c r="H642" i="1"/>
  <c r="J642" i="1"/>
  <c r="G643" i="1"/>
  <c r="H643" i="1"/>
  <c r="J643" i="1"/>
  <c r="G644" i="1"/>
  <c r="H644" i="1"/>
  <c r="G645" i="1"/>
  <c r="H645" i="1"/>
  <c r="H104" i="1"/>
  <c r="G466" i="1"/>
  <c r="H613" i="1" s="1"/>
  <c r="J613" i="1" s="1"/>
  <c r="I44" i="1"/>
  <c r="H610" i="1" s="1"/>
  <c r="F44" i="1"/>
  <c r="H607" i="1"/>
  <c r="J645" i="1"/>
  <c r="J644" i="1"/>
  <c r="J466" i="1"/>
  <c r="H616" i="1"/>
  <c r="K588" i="1"/>
  <c r="G637" i="1" s="1"/>
  <c r="C133" i="2" l="1"/>
  <c r="C8" i="13"/>
  <c r="E33" i="13"/>
  <c r="D35" i="13" s="1"/>
  <c r="J610" i="1"/>
  <c r="C43" i="2"/>
  <c r="F43" i="2"/>
  <c r="C110" i="2"/>
  <c r="J635" i="1"/>
  <c r="E107" i="2"/>
  <c r="C136" i="2"/>
  <c r="G185" i="1"/>
  <c r="G618" i="1" s="1"/>
  <c r="J618" i="1" s="1"/>
  <c r="L203" i="1"/>
  <c r="C10" i="10"/>
  <c r="C101" i="2"/>
  <c r="C20" i="10"/>
  <c r="C115" i="2"/>
  <c r="D14" i="13"/>
  <c r="C14" i="13" s="1"/>
  <c r="K541" i="1"/>
  <c r="H330" i="1"/>
  <c r="H344" i="1" s="1"/>
  <c r="H185" i="1"/>
  <c r="G619" i="1" s="1"/>
  <c r="J619" i="1" s="1"/>
  <c r="H662" i="1"/>
  <c r="C6" i="10" s="1"/>
  <c r="H657" i="1"/>
  <c r="C16" i="10"/>
  <c r="C111" i="2"/>
  <c r="D7" i="13"/>
  <c r="C7" i="13" s="1"/>
  <c r="H637" i="1"/>
  <c r="J637" i="1" s="1"/>
  <c r="G639" i="1"/>
  <c r="J639" i="1" s="1"/>
  <c r="C21" i="10"/>
  <c r="C116" i="2"/>
  <c r="F652" i="1"/>
  <c r="D15" i="13"/>
  <c r="C15" i="13" s="1"/>
  <c r="C25" i="13"/>
  <c r="H33" i="13"/>
  <c r="J330" i="1"/>
  <c r="J344" i="1" s="1"/>
  <c r="F31" i="13"/>
  <c r="G640" i="1"/>
  <c r="J640" i="1" s="1"/>
  <c r="G652" i="1"/>
  <c r="G22" i="2"/>
  <c r="G32" i="2" s="1"/>
  <c r="J33" i="1"/>
  <c r="J629" i="1"/>
  <c r="L221" i="1"/>
  <c r="H249" i="1"/>
  <c r="H263" i="1" s="1"/>
  <c r="J609" i="1"/>
  <c r="D55" i="2"/>
  <c r="C38" i="10"/>
  <c r="A22" i="12"/>
  <c r="I249" i="1"/>
  <c r="I263" i="1" s="1"/>
  <c r="J19" i="1"/>
  <c r="G611" i="1" s="1"/>
  <c r="G9" i="2"/>
  <c r="G19" i="2" s="1"/>
  <c r="J608" i="1"/>
  <c r="G40" i="2"/>
  <c r="G42" i="2" s="1"/>
  <c r="G43" i="2" s="1"/>
  <c r="J43" i="1"/>
  <c r="D6" i="13"/>
  <c r="C6" i="13" s="1"/>
  <c r="L604" i="1"/>
  <c r="L529" i="1"/>
  <c r="C48" i="2"/>
  <c r="C55" i="2" s="1"/>
  <c r="C96" i="2" s="1"/>
  <c r="C15" i="10"/>
  <c r="K490" i="1"/>
  <c r="J239" i="1"/>
  <c r="F221" i="1"/>
  <c r="F77" i="2"/>
  <c r="F83" i="2" s="1"/>
  <c r="F96" i="2" s="1"/>
  <c r="E124" i="2"/>
  <c r="E136" i="2" s="1"/>
  <c r="C26" i="10"/>
  <c r="C13" i="10"/>
  <c r="F161" i="1"/>
  <c r="C39" i="10" s="1"/>
  <c r="C9" i="12"/>
  <c r="A13" i="12" s="1"/>
  <c r="L293" i="1"/>
  <c r="D12" i="13"/>
  <c r="C12" i="13" s="1"/>
  <c r="L519" i="1"/>
  <c r="L535" i="1" s="1"/>
  <c r="J184" i="1"/>
  <c r="J185" i="1" s="1"/>
  <c r="B156" i="2"/>
  <c r="G156" i="2" s="1"/>
  <c r="C113" i="2"/>
  <c r="L354" i="1"/>
  <c r="L208" i="1"/>
  <c r="I444" i="1"/>
  <c r="I451" i="1" s="1"/>
  <c r="H632" i="1" s="1"/>
  <c r="H239" i="1"/>
  <c r="J203" i="1"/>
  <c r="C29" i="10"/>
  <c r="C117" i="2"/>
  <c r="H540" i="1"/>
  <c r="H542" i="1" s="1"/>
  <c r="F540" i="1"/>
  <c r="C23" i="10"/>
  <c r="F104" i="1"/>
  <c r="F185" i="1" s="1"/>
  <c r="G617" i="1" s="1"/>
  <c r="J617" i="1" s="1"/>
  <c r="I438" i="1"/>
  <c r="G632" i="1" s="1"/>
  <c r="J632" i="1" s="1"/>
  <c r="E16" i="13"/>
  <c r="C16" i="13" s="1"/>
  <c r="L400" i="1"/>
  <c r="F239" i="1"/>
  <c r="F203" i="1"/>
  <c r="C114" i="2"/>
  <c r="D77" i="2"/>
  <c r="D83" i="2" s="1"/>
  <c r="C19" i="10"/>
  <c r="G5" i="13"/>
  <c r="G33" i="13" s="1"/>
  <c r="F5" i="13"/>
  <c r="G621" i="1" l="1"/>
  <c r="J621" i="1" s="1"/>
  <c r="G636" i="1"/>
  <c r="G625" i="1"/>
  <c r="J625" i="1" s="1"/>
  <c r="C27" i="10"/>
  <c r="C36" i="10"/>
  <c r="C120" i="2"/>
  <c r="D96" i="2"/>
  <c r="F33" i="13"/>
  <c r="D5" i="13"/>
  <c r="K540" i="1"/>
  <c r="K542" i="1" s="1"/>
  <c r="J44" i="1"/>
  <c r="H611" i="1" s="1"/>
  <c r="G616" i="1"/>
  <c r="C107" i="2"/>
  <c r="C137" i="2" s="1"/>
  <c r="C28" i="10"/>
  <c r="L249" i="1"/>
  <c r="L263" i="1" s="1"/>
  <c r="G622" i="1" s="1"/>
  <c r="J622" i="1" s="1"/>
  <c r="F650" i="1"/>
  <c r="F249" i="1"/>
  <c r="F263" i="1" s="1"/>
  <c r="J249" i="1"/>
  <c r="F542" i="1"/>
  <c r="J611" i="1"/>
  <c r="I652" i="1"/>
  <c r="L301" i="1"/>
  <c r="E111" i="2"/>
  <c r="E120" i="2" s="1"/>
  <c r="E137" i="2" s="1"/>
  <c r="G627" i="1"/>
  <c r="J627" i="1" s="1"/>
  <c r="H636" i="1"/>
  <c r="C102" i="2"/>
  <c r="C11" i="10"/>
  <c r="F654" i="1" l="1"/>
  <c r="C5" i="13"/>
  <c r="C30" i="10"/>
  <c r="D22" i="10"/>
  <c r="D12" i="10"/>
  <c r="D25" i="10"/>
  <c r="D17" i="10"/>
  <c r="D18" i="10"/>
  <c r="D24" i="10"/>
  <c r="L330" i="1"/>
  <c r="L344" i="1" s="1"/>
  <c r="G623" i="1" s="1"/>
  <c r="J623" i="1" s="1"/>
  <c r="D31" i="13"/>
  <c r="C31" i="13" s="1"/>
  <c r="D10" i="10"/>
  <c r="D23" i="10"/>
  <c r="D15" i="10"/>
  <c r="G650" i="1"/>
  <c r="G654" i="1" s="1"/>
  <c r="D19" i="10"/>
  <c r="D21" i="10"/>
  <c r="D26" i="10"/>
  <c r="D20" i="10"/>
  <c r="D11" i="10"/>
  <c r="J616" i="1"/>
  <c r="D13" i="10"/>
  <c r="J636" i="1"/>
  <c r="D36" i="10"/>
  <c r="C41" i="10"/>
  <c r="D16" i="10"/>
  <c r="D27" i="10"/>
  <c r="J263" i="1"/>
  <c r="H638" i="1"/>
  <c r="J638" i="1" s="1"/>
  <c r="H646" i="1" l="1"/>
  <c r="G662" i="1"/>
  <c r="C5" i="10" s="1"/>
  <c r="G657" i="1"/>
  <c r="D40" i="10"/>
  <c r="D37" i="10"/>
  <c r="D35" i="10"/>
  <c r="D41" i="10" s="1"/>
  <c r="D38" i="10"/>
  <c r="D39" i="10"/>
  <c r="D33" i="13"/>
  <c r="D36" i="13" s="1"/>
  <c r="D28" i="10"/>
  <c r="I650" i="1"/>
  <c r="I654" i="1" s="1"/>
  <c r="F657" i="1"/>
  <c r="F662" i="1"/>
  <c r="C4" i="10" s="1"/>
  <c r="I662" i="1" l="1"/>
  <c r="C7" i="10" s="1"/>
  <c r="I6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17F92CDB-55B9-40E0-A8DD-A49FC80C1223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5A1C00DA-A469-4AEC-86E5-E6FE541C9325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74BB88A6-0BBD-42C6-82A1-06C5A339A1A0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9DAB7C85-61BE-46C0-BF77-6177097531A8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A49D6605-EB7A-45A7-A983-AAA053ECC44A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659EDA33-038D-4DF7-922D-F83E77C04258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345433B1-6740-464C-B886-1D6E416C948C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E0335A55-B8D5-4DA7-838A-D78182A4CED8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8A105598-A0FF-4409-AA1C-6DEE17D71FA9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D74EB585-7941-4601-AEF4-A13899D11C97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CAC16947-E9F3-4564-93D0-1F1E9D61B42F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D1F5CB01-0EAF-4E86-B679-E974F7FB32DF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<sst xmlns="http://schemas.openxmlformats.org/spreadsheetml/2006/main" count="3860" uniqueCount="897">
  <si>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</si>
  <si>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</si>
  <si>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</si>
  <si>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</si>
  <si>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</si>
  <si>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</si>
  <si>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</si>
  <si>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</si>
  <si>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</si>
  <si>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</si>
  <si>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</si>
  <si>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</si>
  <si>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</si>
  <si>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</si>
  <si>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</si>
  <si>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</si>
  <si>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</si>
  <si>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</si>
  <si>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</si>
  <si>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</si>
  <si>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</si>
  <si>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</si>
  <si>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</si>
  <si>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</si>
  <si>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</si>
  <si>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</si>
  <si>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</si>
  <si>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</si>
  <si>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</si>
  <si>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</si>
  <si>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</si>
  <si>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</si>
  <si>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</si>
  <si>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</si>
  <si>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</si>
  <si>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</si>
  <si>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</si>
  <si>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</si>
  <si>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</si>
  <si>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</si>
  <si>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</si>
  <si>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</si>
  <si>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</si>
  <si>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</si>
  <si>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</si>
  <si>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</si>
  <si>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</si>
  <si>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</si>
  <si>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</si>
  <si>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</si>
  <si>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</si>
  <si>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</si>
  <si>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</si>
  <si>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</si>
  <si>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</si>
  <si>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</si>
  <si>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</si>
  <si>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</si>
  <si>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</si>
  <si>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</si>
  <si>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</si>
  <si>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</si>
  <si>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</si>
  <si>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</si>
  <si>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</si>
  <si>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</si>
  <si>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</si>
  <si>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</si>
  <si>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</si>
  <si>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</si>
  <si>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</si>
  <si>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</si>
  <si>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</si>
  <si>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</si>
  <si>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</si>
  <si>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</si>
  <si>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</si>
  <si>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</si>
  <si>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</si>
  <si>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</si>
  <si>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</si>
  <si>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</si>
  <si>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</si>
  <si>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</si>
  <si>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</si>
  <si>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</si>
  <si>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</si>
  <si>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</si>
  <si>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</si>
  <si>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</si>
  <si>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</si>
  <si>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</si>
  <si>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</si>
  <si>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</si>
  <si>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</si>
  <si>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</si>
  <si>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</si>
  <si>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</si>
  <si>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</si>
  <si>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</si>
  <si>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</si>
  <si>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</si>
  <si>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</si>
  <si>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</si>
  <si>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</si>
  <si>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</si>
  <si>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</si>
  <si>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</si>
  <si>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</si>
  <si>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</si>
  <si>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</si>
  <si>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</si>
  <si>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</si>
  <si>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</si>
  <si>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</si>
  <si>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</si>
  <si>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</si>
  <si>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</si>
  <si>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</si>
  <si>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</si>
  <si>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</si>
  <si>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</si>
  <si>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</si>
  <si>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</si>
  <si>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</si>
  <si>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</si>
  <si>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</si>
  <si>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</si>
  <si>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</si>
  <si>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</si>
  <si>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</si>
  <si>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</si>
  <si>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</si>
  <si>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</si>
  <si>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</si>
  <si>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</si>
  <si>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</si>
  <si>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</si>
  <si>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</si>
  <si>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</si>
  <si>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</si>
  <si>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</si>
  <si>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</si>
  <si>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</si>
  <si>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</si>
  <si>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</si>
  <si>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</si>
  <si>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</si>
  <si>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</si>
  <si>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</si>
  <si>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</si>
  <si>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</si>
  <si>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</si>
  <si>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</si>
  <si>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</si>
  <si>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</si>
  <si>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</si>
  <si>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</si>
  <si>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</si>
  <si>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</si>
  <si>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</si>
  <si>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</si>
  <si>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</si>
  <si>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</si>
  <si>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</si>
  <si>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</si>
  <si>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</si>
  <si>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</si>
  <si>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</si>
  <si>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</si>
  <si>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</si>
  <si>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</si>
  <si>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</si>
  <si>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</si>
  <si>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</si>
  <si>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</si>
  <si>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</si>
  <si>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</si>
  <si>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</si>
  <si>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</si>
  <si>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</si>
  <si>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</si>
  <si>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</si>
  <si>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</si>
  <si>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</si>
  <si>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</si>
  <si>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</si>
  <si>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</si>
  <si>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</si>
  <si>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</si>
  <si>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</si>
  <si>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</si>
  <si>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</si>
  <si>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</si>
  <si>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</si>
  <si>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</si>
  <si>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</si>
  <si>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</si>
  <si>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</si>
  <si>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</si>
  <si>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</si>
  <si>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</si>
  <si>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</si>
  <si>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</si>
  <si>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</si>
  <si>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</si>
  <si>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</si>
  <si>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</si>
  <si>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</si>
  <si>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</si>
  <si>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</si>
  <si>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</si>
  <si>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</si>
  <si>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</si>
  <si>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</si>
  <si>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</si>
  <si>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</si>
  <si>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</si>
  <si>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</si>
  <si>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</si>
  <si>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</si>
  <si>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</si>
  <si>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</si>
  <si>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</si>
  <si>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</si>
  <si>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</si>
  <si>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</si>
  <si>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</si>
  <si>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</si>
  <si>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</si>
  <si>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</si>
  <si>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</si>
  <si>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</si>
  <si>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</si>
  <si>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</si>
  <si>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</si>
  <si>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</si>
  <si>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</si>
  <si>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</si>
  <si>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</si>
  <si>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</si>
  <si>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</si>
  <si>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</si>
  <si>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</si>
  <si>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</si>
  <si>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</si>
  <si>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</si>
  <si>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</si>
  <si>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</si>
  <si>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</si>
  <si>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</si>
  <si>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</si>
  <si>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</si>
  <si>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</si>
  <si>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</si>
  <si>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</si>
  <si>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</si>
  <si>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</si>
  <si>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</si>
  <si>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</si>
  <si>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</si>
  <si>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</si>
  <si>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</si>
  <si>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</si>
  <si>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</si>
  <si>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</si>
  <si>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</si>
  <si>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</si>
  <si>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</si>
  <si>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</si>
  <si>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</si>
  <si>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</si>
  <si>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</si>
  <si>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</si>
  <si>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</si>
  <si>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</si>
  <si>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</si>
  <si>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</si>
  <si>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</si>
  <si>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</si>
  <si>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</si>
  <si>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</si>
  <si>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</si>
  <si>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</si>
  <si>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</si>
  <si>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</si>
  <si>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</si>
  <si>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</si>
  <si>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</si>
  <si>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</si>
  <si>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</si>
  <si>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</si>
  <si>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</si>
  <si>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</si>
  <si>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</si>
  <si>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</si>
  <si>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</si>
  <si>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</si>
  <si>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</si>
  <si>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</si>
  <si>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</si>
  <si>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</si>
  <si>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</si>
  <si>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</si>
  <si>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</si>
  <si>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</si>
  <si>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</si>
  <si>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</si>
  <si>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</si>
  <si>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</si>
  <si>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</si>
  <si>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</si>
  <si>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</si>
  <si>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</si>
  <si>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</si>
  <si>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</si>
  <si>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</si>
  <si>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</si>
  <si>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</si>
  <si>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</si>
  <si>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</si>
  <si>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</si>
  <si>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</si>
  <si>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</si>
  <si>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</si>
  <si>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</si>
  <si>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</si>
  <si>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</si>
  <si>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</si>
  <si>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</si>
  <si>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</si>
  <si>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</si>
  <si>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</si>
  <si>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</si>
  <si>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</si>
  <si>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</si>
  <si>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</si>
  <si>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</si>
  <si>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</si>
  <si>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</si>
  <si>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</si>
  <si>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</si>
  <si>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</si>
  <si>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</si>
  <si>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</si>
  <si>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</si>
  <si>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</si>
  <si>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</si>
  <si>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</si>
  <si>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</si>
  <si>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</si>
  <si>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</si>
  <si>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</si>
  <si>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</si>
  <si>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</si>
  <si>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</si>
  <si>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</si>
  <si>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</si>
  <si>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</si>
  <si>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</si>
  <si>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</si>
  <si>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</si>
  <si>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</si>
  <si>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</si>
  <si>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</si>
  <si>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</si>
  <si>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</si>
  <si>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</si>
  <si>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</si>
  <si>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</si>
  <si>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</si>
  <si>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</si>
  <si>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</si>
  <si>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</si>
  <si>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</si>
  <si>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</si>
  <si>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</si>
  <si>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</si>
  <si>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</si>
  <si>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</si>
  <si>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</si>
  <si>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</si>
  <si>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</si>
  <si>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</si>
  <si>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</si>
  <si>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</si>
  <si>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</si>
  <si>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</si>
  <si>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</si>
  <si>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</si>
  <si>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</si>
  <si>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</si>
  <si>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</si>
  <si>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</si>
  <si>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</si>
  <si>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</si>
  <si>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</si>
  <si>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</si>
  <si>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</si>
  <si>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</si>
  <si>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</si>
  <si>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</si>
  <si>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</si>
  <si>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</si>
  <si>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</si>
  <si>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</si>
  <si>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</si>
  <si>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</si>
  <si>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</si>
  <si>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</si>
  <si>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</si>
  <si>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</si>
  <si>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</si>
  <si>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</si>
  <si>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</si>
  <si>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</si>
  <si>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</si>
  <si>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</si>
  <si>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</si>
  <si>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</si>
  <si>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</si>
  <si>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</si>
  <si>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</si>
  <si>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</si>
  <si>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</si>
  <si>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</si>
  <si>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</si>
  <si>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</si>
  <si>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</si>
  <si>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</si>
  <si>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</si>
  <si>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</si>
  <si>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</si>
  <si>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</si>
  <si>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</si>
  <si>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</si>
  <si>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</si>
  <si>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</si>
  <si>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</si>
  <si>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</si>
  <si>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</si>
  <si>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</si>
  <si>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</si>
  <si>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</si>
  <si>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</si>
  <si>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</si>
  <si>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</si>
  <si>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</si>
  <si>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</si>
  <si>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</si>
  <si>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</si>
  <si>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</si>
  <si>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</si>
  <si>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</si>
  <si>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</si>
  <si>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</si>
  <si>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</si>
  <si>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</si>
  <si>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</si>
  <si>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</si>
  <si>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</si>
  <si>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</si>
  <si>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</si>
  <si>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</si>
  <si>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</si>
  <si>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</si>
  <si>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</si>
  <si>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</si>
  <si>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</si>
  <si>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</si>
  <si>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</si>
  <si>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</si>
  <si>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</si>
  <si>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</si>
  <si>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</si>
  <si>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</si>
  <si>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</si>
  <si>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</si>
  <si>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</si>
  <si>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</si>
  <si>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</si>
  <si>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</si>
  <si>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</si>
  <si>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</si>
  <si>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</si>
  <si>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</si>
  <si>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</si>
  <si>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</si>
  <si>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</si>
  <si>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</si>
  <si>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</si>
  <si>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</si>
  <si>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</si>
  <si>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</si>
  <si>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</si>
  <si>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</si>
  <si>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</si>
  <si>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</si>
  <si>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</si>
  <si>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</si>
  <si>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</si>
  <si>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</si>
  <si>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</si>
  <si>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</si>
  <si>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</si>
  <si>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</si>
  <si>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</si>
  <si>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</si>
  <si>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</si>
  <si>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</si>
  <si>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</si>
  <si>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</si>
  <si>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</si>
  <si>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</si>
  <si>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</si>
  <si>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</si>
  <si>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</si>
  <si>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</si>
  <si>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</si>
  <si>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</si>
  <si>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</si>
  <si>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</si>
  <si>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</si>
  <si>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</si>
  <si>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</si>
  <si>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</si>
  <si>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</si>
  <si>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</si>
  <si>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</si>
  <si>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</si>
  <si>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</si>
  <si>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</si>
  <si>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</si>
  <si>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</si>
  <si>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</si>
  <si>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</si>
  <si>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</si>
  <si>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</si>
  <si>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</si>
  <si>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</si>
  <si>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</si>
  <si>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</si>
  <si>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</si>
  <si>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</si>
  <si>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</si>
  <si>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</si>
  <si>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</si>
  <si>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</si>
  <si>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</si>
  <si>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</si>
  <si>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</si>
  <si>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</si>
  <si>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</si>
  <si>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</si>
  <si>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</si>
  <si>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</si>
  <si>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</si>
  <si>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</si>
  <si>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</si>
  <si>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</si>
  <si>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</si>
  <si>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</si>
  <si>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</si>
  <si>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</si>
  <si>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</si>
  <si>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</si>
  <si>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</si>
  <si>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</si>
  <si>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</si>
  <si>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</si>
  <si>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</si>
  <si>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</si>
  <si>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</si>
  <si>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</si>
  <si>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</si>
  <si>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</si>
  <si>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</si>
  <si>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</si>
  <si>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</si>
  <si>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</si>
  <si>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</si>
  <si>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</si>
  <si>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</si>
  <si>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</si>
  <si>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</si>
  <si>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</si>
  <si>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</si>
  <si>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</si>
  <si>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</si>
  <si>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</si>
  <si>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</si>
  <si>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</si>
  <si>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</si>
  <si>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</si>
  <si>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</si>
  <si>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</si>
  <si>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</si>
  <si>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</si>
  <si>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</si>
  <si>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</si>
  <si>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</si>
  <si>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</si>
  <si>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</si>
  <si>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</si>
  <si>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</si>
  <si>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</si>
  <si>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</si>
  <si>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</si>
  <si>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</si>
  <si>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</si>
  <si>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</si>
  <si>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</si>
  <si>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</si>
  <si>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</si>
  <si>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</si>
  <si>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</si>
  <si>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</si>
  <si>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</si>
  <si>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</si>
  <si>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</si>
  <si>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</si>
  <si>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</si>
  <si>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</si>
  <si>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</si>
  <si>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</si>
  <si>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</si>
  <si>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</si>
  <si>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</si>
  <si>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</si>
  <si>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</si>
  <si>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</si>
  <si>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</si>
  <si>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</si>
  <si>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</si>
  <si>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</si>
  <si>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</si>
  <si>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</si>
  <si>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</si>
  <si>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</si>
  <si>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</si>
  <si>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</si>
  <si>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</si>
  <si>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</si>
  <si>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</si>
  <si>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</si>
  <si>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</si>
  <si>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</si>
  <si>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</si>
  <si>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</si>
  <si>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</si>
  <si>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</si>
  <si>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</si>
  <si>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</si>
  <si>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</si>
  <si>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</si>
  <si>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</si>
  <si>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</si>
  <si>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</si>
  <si>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</si>
  <si>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</si>
  <si>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</si>
  <si>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</si>
  <si>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</si>
  <si>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</si>
  <si>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</si>
  <si>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</si>
  <si>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</si>
  <si>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</si>
  <si>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</si>
  <si>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</si>
  <si>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</si>
  <si>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</si>
  <si>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</si>
  <si>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</si>
  <si>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</si>
  <si>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</si>
  <si>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</si>
  <si>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</si>
  <si>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</si>
  <si>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</si>
  <si>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</si>
  <si>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</si>
  <si>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</si>
  <si>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</si>
  <si>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</si>
  <si>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</si>
  <si>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</si>
  <si>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</si>
  <si>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</si>
  <si>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</si>
  <si>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</si>
  <si>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</si>
  <si>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</si>
  <si>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</si>
  <si>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</si>
  <si>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</si>
  <si>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</si>
  <si>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</si>
  <si>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</si>
  <si>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</si>
  <si>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</si>
  <si>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</si>
  <si>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</si>
  <si>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</si>
  <si>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</si>
  <si>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</si>
  <si>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</si>
  <si>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</si>
  <si>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</si>
  <si>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</si>
  <si>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</si>
  <si>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</si>
  <si>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</si>
  <si>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</si>
  <si>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</si>
  <si>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</si>
  <si>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</si>
  <si>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</si>
  <si>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</si>
  <si>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</si>
  <si>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</si>
  <si>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</si>
  <si>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</si>
  <si>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</si>
  <si>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</si>
  <si>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</si>
  <si>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</si>
  <si>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</si>
  <si>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</si>
  <si>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</si>
  <si>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</si>
  <si>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</si>
  <si>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</si>
  <si>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</si>
  <si>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</si>
  <si>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</si>
  <si>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</si>
  <si>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</si>
  <si>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</si>
  <si>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</si>
  <si>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</si>
  <si>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</si>
  <si>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</si>
  <si>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</si>
  <si>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</si>
  <si>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</si>
  <si>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</si>
  <si>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</si>
  <si>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</si>
  <si>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</si>
  <si>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</si>
  <si>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</si>
  <si>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</si>
  <si>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</si>
  <si>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</si>
  <si>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</si>
  <si>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</si>
  <si>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</si>
  <si>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</si>
  <si>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</si>
  <si>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</si>
  <si>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</si>
  <si>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</si>
  <si>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</si>
  <si>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</si>
  <si>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</si>
  <si>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</si>
  <si>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</si>
  <si>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</si>
  <si>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</si>
  <si>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</si>
  <si>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</si>
  <si>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</si>
  <si>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</si>
  <si>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</si>
  <si>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</si>
  <si>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</si>
  <si>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</si>
  <si>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</si>
  <si>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</si>
  <si>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</si>
  <si>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</si>
  <si>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</si>
  <si>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</si>
  <si>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</si>
  <si>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</si>
  <si>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</si>
  <si>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</si>
  <si>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</si>
  <si>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</si>
  <si>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</si>
  <si>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</si>
  <si>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</si>
  <si>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</si>
  <si>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</si>
  <si>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</si>
  <si>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</si>
  <si>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</si>
  <si>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</si>
  <si>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</si>
  <si>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</si>
  <si>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</si>
  <si>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</si>
  <si>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</si>
  <si>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</si>
  <si>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</si>
  <si>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</si>
  <si>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</si>
  <si>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</si>
  <si>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</si>
  <si>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</si>
  <si>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</si>
  <si>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</si>
  <si>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</si>
  <si>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</si>
  <si>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</si>
  <si>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</si>
  <si>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</si>
  <si>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</si>
  <si>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</si>
  <si>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</si>
  <si>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</si>
  <si>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</si>
  <si>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</si>
  <si>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</si>
  <si>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</si>
  <si>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</si>
  <si>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</si>
  <si>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</si>
  <si>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</si>
  <si>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</si>
  <si>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</si>
  <si>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</si>
  <si>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</si>
  <si>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</si>
  <si>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</si>
  <si>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</si>
  <si>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</si>
  <si>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</si>
  <si>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</si>
  <si>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</si>
  <si>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</si>
  <si>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</si>
  <si>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</si>
  <si>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</si>
  <si>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</si>
  <si>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</si>
  <si>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</si>
  <si>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</si>
  <si>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</si>
  <si>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</si>
  <si>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</si>
  <si>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</si>
  <si>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</si>
  <si>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</si>
  <si>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</si>
  <si>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</si>
  <si>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</si>
  <si>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</si>
  <si>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</si>
  <si>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</si>
  <si>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</si>
  <si>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</si>
  <si>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</si>
  <si>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</si>
  <si>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</si>
  <si>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</si>
  <si>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</si>
  <si>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</si>
  <si>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</si>
  <si>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</si>
  <si>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</si>
  <si>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</si>
  <si>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</si>
  <si>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</si>
  <si>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</si>
  <si>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</si>
  <si>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</si>
  <si>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</si>
  <si>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</si>
  <si>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</si>
  <si>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</si>
  <si>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</si>
  <si>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</si>
  <si>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</si>
  <si>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</si>
  <si>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</si>
  <si>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</si>
  <si>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</si>
  <si>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</si>
  <si>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</si>
  <si>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</si>
  <si>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</si>
  <si>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</si>
  <si>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Monadnock Regional School District</t>
  </si>
  <si>
    <t>to restore prior year's audited fund balance</t>
  </si>
  <si>
    <t>Correction of prior year's fund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</si>
</sst>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10" fillId="0" borderId="0" xfId="0" applyNumberFormat="1" applyFont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A4BFC-9649-49E7-8BF9-47C4D3CA86B9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H661" sqref="H66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363</v>
      </c>
      <c r="C2" s="21">
        <v>0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1273011</v>
      </c>
      <c r="G9" s="18">
        <v>1055</v>
      </c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>
        <v>685</v>
      </c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>
        <v>723010</v>
      </c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/>
      <c r="G12" s="18">
        <v>55409</v>
      </c>
      <c r="H12" s="18">
        <v>255535</v>
      </c>
      <c r="I12" s="18">
        <f>824315+1174486</f>
        <v>1998801</v>
      </c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19322</v>
      </c>
      <c r="G13" s="18">
        <v>23495</v>
      </c>
      <c r="H13" s="18">
        <v>57964</v>
      </c>
      <c r="I13" s="18"/>
      <c r="J13" s="67">
        <f>SUM(I434)</f>
        <v>1201907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/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2016028</v>
      </c>
      <c r="G19" s="41">
        <f>SUM(G9:G18)</f>
        <v>79959</v>
      </c>
      <c r="H19" s="41">
        <f>SUM(H9:H18)</f>
        <v>313499</v>
      </c>
      <c r="I19" s="41">
        <f>SUM(I9:I18)</f>
        <v>1998801</v>
      </c>
      <c r="J19" s="41">
        <f>SUM(J9:J18)</f>
        <v>1201907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986694</v>
      </c>
      <c r="G23" s="18"/>
      <c r="H23" s="18">
        <v>209165</v>
      </c>
      <c r="I23" s="18">
        <v>942418</v>
      </c>
      <c r="J23" s="67">
        <f>SUM(I440)</f>
        <v>776930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42620</v>
      </c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936910</v>
      </c>
      <c r="G25" s="18">
        <v>18698</v>
      </c>
      <c r="H25" s="18">
        <v>7544</v>
      </c>
      <c r="I25" s="18">
        <v>16267</v>
      </c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232949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1361</v>
      </c>
      <c r="G31" s="18"/>
      <c r="H31" s="18">
        <v>115670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>
        <v>339</v>
      </c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2200873</v>
      </c>
      <c r="G33" s="41">
        <f>SUM(G23:G32)</f>
        <v>18698</v>
      </c>
      <c r="H33" s="41">
        <f>SUM(H23:H32)</f>
        <v>332379</v>
      </c>
      <c r="I33" s="41">
        <f>SUM(I23:I32)</f>
        <v>958685</v>
      </c>
      <c r="J33" s="41">
        <f>SUM(J23:J32)</f>
        <v>776930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61261</v>
      </c>
      <c r="H41" s="18">
        <v>-18880</v>
      </c>
      <c r="I41" s="18">
        <v>1040116</v>
      </c>
      <c r="J41" s="13">
        <f>SUM(I449)</f>
        <v>424977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-184845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-184845</v>
      </c>
      <c r="G43" s="41">
        <f>SUM(G35:G42)</f>
        <v>61261</v>
      </c>
      <c r="H43" s="41">
        <f>SUM(H35:H42)</f>
        <v>-18880</v>
      </c>
      <c r="I43" s="41">
        <f>SUM(I35:I42)</f>
        <v>1040116</v>
      </c>
      <c r="J43" s="41">
        <f>SUM(J35:J42)</f>
        <v>424977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2016028</v>
      </c>
      <c r="G44" s="41">
        <f>G43+G33</f>
        <v>79959</v>
      </c>
      <c r="H44" s="41">
        <f>H43+H33</f>
        <v>313499</v>
      </c>
      <c r="I44" s="41">
        <f>I43+I33</f>
        <v>1998801</v>
      </c>
      <c r="J44" s="41">
        <f>J43+J33</f>
        <v>1201907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17549124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17549124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22600</v>
      </c>
      <c r="G55" s="24" t="s">
        <v>312</v>
      </c>
      <c r="H55" s="18">
        <v>34210</v>
      </c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>
        <v>4590</v>
      </c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76994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70903</v>
      </c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175087</v>
      </c>
      <c r="G71" s="45" t="s">
        <v>312</v>
      </c>
      <c r="H71" s="41">
        <f>SUM(H55:H70)</f>
        <v>34210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/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8472</v>
      </c>
      <c r="G88" s="18">
        <v>109</v>
      </c>
      <c r="H88" s="18"/>
      <c r="I88" s="18"/>
      <c r="J88" s="18">
        <v>6009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554861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-4557</v>
      </c>
      <c r="G102" s="18">
        <v>6214</v>
      </c>
      <c r="H102" s="18">
        <v>19661</v>
      </c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3915</v>
      </c>
      <c r="G103" s="41">
        <f>SUM(G88:G102)</f>
        <v>561184</v>
      </c>
      <c r="H103" s="41">
        <f>SUM(H88:H102)</f>
        <v>19661</v>
      </c>
      <c r="I103" s="41">
        <f>SUM(I88:I102)</f>
        <v>0</v>
      </c>
      <c r="J103" s="41">
        <f>SUM(J88:J102)</f>
        <v>6009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17728126</v>
      </c>
      <c r="G104" s="41">
        <f>G52+G103</f>
        <v>561184</v>
      </c>
      <c r="H104" s="41">
        <f>H52+H71+H86+H103</f>
        <v>53871</v>
      </c>
      <c r="I104" s="41">
        <f>I52+I103</f>
        <v>0</v>
      </c>
      <c r="J104" s="41">
        <f>J52+J103</f>
        <v>6009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7801729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2760016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2993282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13555027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143930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593307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8561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737237</v>
      </c>
      <c r="G128" s="41">
        <f>SUM(G115:G127)</f>
        <v>8561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14292264</v>
      </c>
      <c r="G132" s="41">
        <f>G113+SUM(G128:G129)</f>
        <v>8561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517905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704964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374816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351599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351599</v>
      </c>
      <c r="G154" s="41">
        <f>SUM(G142:G153)</f>
        <v>374816</v>
      </c>
      <c r="H154" s="41">
        <f>SUM(H142:H153)</f>
        <v>1222869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351599</v>
      </c>
      <c r="G161" s="41">
        <f>G139+G154+SUM(G155:G160)</f>
        <v>374816</v>
      </c>
      <c r="H161" s="41">
        <f>H139+H154+SUM(H155:H160)</f>
        <v>1222869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>
        <f>1174487</f>
        <v>1174487</v>
      </c>
      <c r="J171" s="18">
        <v>550000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>
        <v>20904</v>
      </c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20904</v>
      </c>
      <c r="G175" s="41">
        <f>SUM(G171:G174)</f>
        <v>0</v>
      </c>
      <c r="H175" s="41">
        <f>SUM(H171:H174)</f>
        <v>0</v>
      </c>
      <c r="I175" s="41">
        <f>SUM(I171:I174)</f>
        <v>1174487</v>
      </c>
      <c r="J175" s="41">
        <f>SUM(J171:J174)</f>
        <v>550000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>
        <v>22555</v>
      </c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22555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43459</v>
      </c>
      <c r="G184" s="41">
        <f>G175+SUM(G180:G183)</f>
        <v>0</v>
      </c>
      <c r="H184" s="41">
        <f>+H175+SUM(H180:H183)</f>
        <v>0</v>
      </c>
      <c r="I184" s="41">
        <f>I169+I175+SUM(I180:I183)</f>
        <v>1174487</v>
      </c>
      <c r="J184" s="41">
        <f>J175</f>
        <v>550000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32415448</v>
      </c>
      <c r="G185" s="47">
        <f>G104+G132+G161+G184</f>
        <v>944561</v>
      </c>
      <c r="H185" s="47">
        <f>H104+H132+H161+H184</f>
        <v>1276740</v>
      </c>
      <c r="I185" s="47">
        <f>I104+I132+I161+I184</f>
        <v>1174487</v>
      </c>
      <c r="J185" s="47">
        <f>J104+J132+J184</f>
        <v>556009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f>3364778+151953</f>
        <v>3516731</v>
      </c>
      <c r="G189" s="18">
        <f>1276523+33976</f>
        <v>1310499</v>
      </c>
      <c r="H189" s="18">
        <f>15833+104196</f>
        <v>120029</v>
      </c>
      <c r="I189" s="18">
        <f>189885+34688</f>
        <v>224573</v>
      </c>
      <c r="J189" s="18">
        <f>50767+7924</f>
        <v>58691</v>
      </c>
      <c r="K189" s="18"/>
      <c r="L189" s="19">
        <f>SUM(F189:K189)</f>
        <v>5230523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f>2502641+20997</f>
        <v>2523638</v>
      </c>
      <c r="G190" s="18">
        <f>1674029+11112</f>
        <v>1685141</v>
      </c>
      <c r="H190" s="18">
        <f>4711+1006659</f>
        <v>1011370</v>
      </c>
      <c r="I190" s="18">
        <f>26077+1047</f>
        <v>27124</v>
      </c>
      <c r="J190" s="18">
        <v>8616</v>
      </c>
      <c r="K190" s="18">
        <f>69+1043</f>
        <v>1112</v>
      </c>
      <c r="L190" s="19">
        <f>SUM(F190:K190)</f>
        <v>5257001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2960</v>
      </c>
      <c r="G192" s="18">
        <v>348</v>
      </c>
      <c r="H192" s="18">
        <v>854</v>
      </c>
      <c r="I192" s="18"/>
      <c r="J192" s="18"/>
      <c r="K192" s="18"/>
      <c r="L192" s="19">
        <f>SUM(F192:K192)</f>
        <v>4162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510041</v>
      </c>
      <c r="G194" s="18">
        <v>170475</v>
      </c>
      <c r="H194" s="18">
        <f>6685+332448</f>
        <v>339133</v>
      </c>
      <c r="I194" s="18">
        <f>19962</f>
        <v>19962</v>
      </c>
      <c r="J194" s="18"/>
      <c r="K194" s="18">
        <v>779</v>
      </c>
      <c r="L194" s="19">
        <f t="shared" ref="L194:L200" si="0">SUM(F194:K194)</f>
        <v>1040390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f>76546+35154</f>
        <v>111700</v>
      </c>
      <c r="G195" s="18">
        <f>85201+14382</f>
        <v>99583</v>
      </c>
      <c r="H195" s="18">
        <f>9661+15661</f>
        <v>25322</v>
      </c>
      <c r="I195" s="18">
        <f>34723+7367</f>
        <v>42090</v>
      </c>
      <c r="J195" s="18">
        <f>1952+96</f>
        <v>2048</v>
      </c>
      <c r="K195" s="18"/>
      <c r="L195" s="19">
        <f t="shared" si="0"/>
        <v>280743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12331</v>
      </c>
      <c r="G196" s="18">
        <v>889</v>
      </c>
      <c r="H196" s="18">
        <v>735444</v>
      </c>
      <c r="I196" s="18">
        <v>931</v>
      </c>
      <c r="J196" s="18">
        <v>295</v>
      </c>
      <c r="K196" s="18"/>
      <c r="L196" s="19">
        <f t="shared" si="0"/>
        <v>749890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643426</v>
      </c>
      <c r="G197" s="18">
        <f>256623</f>
        <v>256623</v>
      </c>
      <c r="H197" s="18">
        <v>49007</v>
      </c>
      <c r="I197" s="18">
        <v>4931</v>
      </c>
      <c r="J197" s="18">
        <v>11617</v>
      </c>
      <c r="K197" s="18">
        <v>2762</v>
      </c>
      <c r="L197" s="19">
        <f t="shared" si="0"/>
        <v>968366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>
        <v>36120</v>
      </c>
      <c r="H198" s="18">
        <v>95030</v>
      </c>
      <c r="I198" s="18">
        <v>1038</v>
      </c>
      <c r="J198" s="18"/>
      <c r="K198" s="18">
        <v>5856</v>
      </c>
      <c r="L198" s="19">
        <f t="shared" si="0"/>
        <v>138044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f>300338+286562</f>
        <v>586900</v>
      </c>
      <c r="G199" s="18">
        <f>163372+100850</f>
        <v>264222</v>
      </c>
      <c r="H199" s="18">
        <f>164240+48249</f>
        <v>212489</v>
      </c>
      <c r="I199" s="18">
        <f>367279+35274</f>
        <v>402553</v>
      </c>
      <c r="J199" s="18">
        <f>12985+1272</f>
        <v>14257</v>
      </c>
      <c r="K199" s="18">
        <v>20747</v>
      </c>
      <c r="L199" s="19">
        <f t="shared" si="0"/>
        <v>1501168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f>434743+560477+4125</f>
        <v>999345</v>
      </c>
      <c r="I200" s="18">
        <v>467</v>
      </c>
      <c r="J200" s="18"/>
      <c r="K200" s="18"/>
      <c r="L200" s="19">
        <f t="shared" si="0"/>
        <v>999812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>
        <v>193599</v>
      </c>
      <c r="G201" s="18">
        <v>14810</v>
      </c>
      <c r="H201" s="18"/>
      <c r="I201" s="18"/>
      <c r="J201" s="18"/>
      <c r="K201" s="18"/>
      <c r="L201" s="19">
        <f>SUM(F201:K201)</f>
        <v>208409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8101326</v>
      </c>
      <c r="G203" s="41">
        <f t="shared" si="1"/>
        <v>3838710</v>
      </c>
      <c r="H203" s="41">
        <f t="shared" si="1"/>
        <v>3588023</v>
      </c>
      <c r="I203" s="41">
        <f t="shared" si="1"/>
        <v>723669</v>
      </c>
      <c r="J203" s="41">
        <f t="shared" si="1"/>
        <v>95524</v>
      </c>
      <c r="K203" s="41">
        <f t="shared" si="1"/>
        <v>31256</v>
      </c>
      <c r="L203" s="41">
        <f t="shared" si="1"/>
        <v>16378508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f>1200395+49617</f>
        <v>1250012</v>
      </c>
      <c r="G207" s="18">
        <f>401623+11094</f>
        <v>412717</v>
      </c>
      <c r="H207" s="18">
        <f>5039+34023</f>
        <v>39062</v>
      </c>
      <c r="I207" s="18">
        <f>59271+11327</f>
        <v>70598</v>
      </c>
      <c r="J207" s="18">
        <f>64174+2587</f>
        <v>66761</v>
      </c>
      <c r="K207" s="18">
        <v>786</v>
      </c>
      <c r="L207" s="19">
        <f>SUM(F207:K207)</f>
        <v>1839936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f>455742+6856</f>
        <v>462598</v>
      </c>
      <c r="G208" s="18">
        <f>227391+3628</f>
        <v>231019</v>
      </c>
      <c r="H208" s="18">
        <f>431+328705</f>
        <v>329136</v>
      </c>
      <c r="I208" s="18">
        <f>4965+341</f>
        <v>5306</v>
      </c>
      <c r="J208" s="18"/>
      <c r="K208" s="18">
        <f>260+341</f>
        <v>601</v>
      </c>
      <c r="L208" s="19">
        <f>SUM(F208:K208)</f>
        <v>1028660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v>54012</v>
      </c>
      <c r="G210" s="18">
        <v>10506</v>
      </c>
      <c r="H210" s="18">
        <v>5036</v>
      </c>
      <c r="I210" s="18">
        <v>11073</v>
      </c>
      <c r="J210" s="18">
        <v>49</v>
      </c>
      <c r="K210" s="18">
        <v>1505</v>
      </c>
      <c r="L210" s="19">
        <f>SUM(F210:K210)</f>
        <v>82181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f>143194</f>
        <v>143194</v>
      </c>
      <c r="G212" s="18">
        <v>51959</v>
      </c>
      <c r="H212" s="18">
        <v>108554</v>
      </c>
      <c r="I212" s="18">
        <v>6729</v>
      </c>
      <c r="J212" s="18">
        <v>400</v>
      </c>
      <c r="K212" s="18"/>
      <c r="L212" s="19">
        <f t="shared" ref="L212:L218" si="2">SUM(F212:K212)</f>
        <v>310836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f>41862+11479</f>
        <v>53341</v>
      </c>
      <c r="G213" s="18">
        <f>16046+4696</f>
        <v>20742</v>
      </c>
      <c r="H213" s="18">
        <f>1139+5114</f>
        <v>6253</v>
      </c>
      <c r="I213" s="18">
        <f>6989+2406</f>
        <v>9395</v>
      </c>
      <c r="J213" s="18">
        <v>31</v>
      </c>
      <c r="K213" s="18"/>
      <c r="L213" s="19">
        <f t="shared" si="2"/>
        <v>89762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4026</v>
      </c>
      <c r="G214" s="18">
        <v>290</v>
      </c>
      <c r="H214" s="18">
        <v>240145</v>
      </c>
      <c r="I214" s="18">
        <v>304</v>
      </c>
      <c r="J214" s="18">
        <v>96</v>
      </c>
      <c r="K214" s="18"/>
      <c r="L214" s="19">
        <f t="shared" si="2"/>
        <v>244861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v>132825</v>
      </c>
      <c r="G215" s="18">
        <v>34301</v>
      </c>
      <c r="H215" s="18">
        <v>45464</v>
      </c>
      <c r="I215" s="18">
        <v>2120</v>
      </c>
      <c r="J215" s="18">
        <v>4189</v>
      </c>
      <c r="K215" s="18">
        <v>1130</v>
      </c>
      <c r="L215" s="19">
        <f t="shared" si="2"/>
        <v>220029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>
        <v>11794</v>
      </c>
      <c r="H216" s="18">
        <v>31030</v>
      </c>
      <c r="I216" s="18"/>
      <c r="J216" s="18"/>
      <c r="K216" s="18">
        <v>1912</v>
      </c>
      <c r="L216" s="19">
        <f t="shared" si="2"/>
        <v>44736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f>98801+93571</f>
        <v>192372</v>
      </c>
      <c r="G217" s="18">
        <f>45219+32931</f>
        <v>78150</v>
      </c>
      <c r="H217" s="18">
        <f>16917+15755</f>
        <v>32672</v>
      </c>
      <c r="I217" s="18">
        <f>96122+11518</f>
        <v>107640</v>
      </c>
      <c r="J217" s="18">
        <f>2904+415</f>
        <v>3319</v>
      </c>
      <c r="K217" s="18">
        <v>6775</v>
      </c>
      <c r="L217" s="19">
        <f t="shared" si="2"/>
        <v>420928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>
        <f>141957+183013+1347+21748</f>
        <v>348065</v>
      </c>
      <c r="I218" s="18">
        <v>153</v>
      </c>
      <c r="J218" s="18"/>
      <c r="K218" s="18"/>
      <c r="L218" s="19">
        <f t="shared" si="2"/>
        <v>348218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>
        <v>63216</v>
      </c>
      <c r="G219" s="18">
        <v>4836</v>
      </c>
      <c r="H219" s="18"/>
      <c r="I219" s="18"/>
      <c r="J219" s="18"/>
      <c r="K219" s="18"/>
      <c r="L219" s="19">
        <f>SUM(F219:K219)</f>
        <v>68052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2355596</v>
      </c>
      <c r="G221" s="41">
        <f>SUM(G207:G220)</f>
        <v>856314</v>
      </c>
      <c r="H221" s="41">
        <f>SUM(H207:H220)</f>
        <v>1185417</v>
      </c>
      <c r="I221" s="41">
        <f>SUM(I207:I220)</f>
        <v>213318</v>
      </c>
      <c r="J221" s="41">
        <f>SUM(J207:J220)</f>
        <v>74845</v>
      </c>
      <c r="K221" s="41">
        <f t="shared" si="3"/>
        <v>12709</v>
      </c>
      <c r="L221" s="41">
        <f t="shared" si="3"/>
        <v>4698199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f>2759231+108538+422</f>
        <v>2868191</v>
      </c>
      <c r="G225" s="18">
        <f>1044973+24268</f>
        <v>1069241</v>
      </c>
      <c r="H225" s="18">
        <f>45492+74426</f>
        <v>119918</v>
      </c>
      <c r="I225" s="18">
        <f>194221+24777</f>
        <v>218998</v>
      </c>
      <c r="J225" s="18">
        <f>150756+5660</f>
        <v>156416</v>
      </c>
      <c r="K225" s="18">
        <v>2928</v>
      </c>
      <c r="L225" s="19">
        <f>SUM(F225:K225)</f>
        <v>4435692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f>908587+14998</f>
        <v>923585</v>
      </c>
      <c r="G226" s="18">
        <f>542668+7937</f>
        <v>550605</v>
      </c>
      <c r="H226" s="18">
        <f>8704+719042</f>
        <v>727746</v>
      </c>
      <c r="I226" s="18">
        <f>8814+747</f>
        <v>9561</v>
      </c>
      <c r="J226" s="18">
        <v>3268</v>
      </c>
      <c r="K226" s="18">
        <f>530+745</f>
        <v>1275</v>
      </c>
      <c r="L226" s="19">
        <f>SUM(F226:K226)</f>
        <v>2216040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>
        <v>1200</v>
      </c>
      <c r="G227" s="18">
        <v>145</v>
      </c>
      <c r="H227" s="18">
        <v>47557</v>
      </c>
      <c r="I227" s="18">
        <v>610</v>
      </c>
      <c r="J227" s="18"/>
      <c r="K227" s="18"/>
      <c r="L227" s="19">
        <f>SUM(F227:K227)</f>
        <v>49512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122719</v>
      </c>
      <c r="G228" s="18">
        <v>15449</v>
      </c>
      <c r="H228" s="18">
        <v>37953</v>
      </c>
      <c r="I228" s="18">
        <v>40962</v>
      </c>
      <c r="J228" s="18">
        <v>2059</v>
      </c>
      <c r="K228" s="18">
        <v>10086</v>
      </c>
      <c r="L228" s="19">
        <f>SUM(F228:K228)</f>
        <v>229228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f>256487+1456</f>
        <v>257943</v>
      </c>
      <c r="G230" s="18">
        <f>114989+223</f>
        <v>115212</v>
      </c>
      <c r="H230" s="18">
        <f>3991+237463</f>
        <v>241454</v>
      </c>
      <c r="I230" s="18">
        <v>29081</v>
      </c>
      <c r="J230" s="18">
        <v>1252</v>
      </c>
      <c r="K230" s="18">
        <v>9835</v>
      </c>
      <c r="L230" s="19">
        <f t="shared" ref="L230:L236" si="4">SUM(F230:K230)</f>
        <v>654777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f>132049+25110</f>
        <v>157159</v>
      </c>
      <c r="G231" s="18">
        <f>40018+10273</f>
        <v>50291</v>
      </c>
      <c r="H231" s="18">
        <f>1526+11187</f>
        <v>12713</v>
      </c>
      <c r="I231" s="18">
        <f>24431+29+5262</f>
        <v>29722</v>
      </c>
      <c r="J231" s="18">
        <f>2235+68</f>
        <v>2303</v>
      </c>
      <c r="K231" s="18"/>
      <c r="L231" s="19">
        <f t="shared" si="4"/>
        <v>252188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8808</v>
      </c>
      <c r="G232" s="18">
        <v>635</v>
      </c>
      <c r="H232" s="18">
        <v>525317</v>
      </c>
      <c r="I232" s="18">
        <v>665</v>
      </c>
      <c r="J232" s="18">
        <v>211</v>
      </c>
      <c r="K232" s="18"/>
      <c r="L232" s="19">
        <f t="shared" si="4"/>
        <v>535636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375617</v>
      </c>
      <c r="G233" s="18">
        <v>155377</v>
      </c>
      <c r="H233" s="18">
        <v>98958</v>
      </c>
      <c r="I233" s="18">
        <v>7938</v>
      </c>
      <c r="J233" s="18">
        <v>7016</v>
      </c>
      <c r="K233" s="18">
        <v>9827</v>
      </c>
      <c r="L233" s="19">
        <f t="shared" si="4"/>
        <v>654733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>
        <v>25800</v>
      </c>
      <c r="H234" s="18">
        <v>67879</v>
      </c>
      <c r="I234" s="18"/>
      <c r="J234" s="18"/>
      <c r="K234" s="18">
        <v>4183</v>
      </c>
      <c r="L234" s="19">
        <f t="shared" si="4"/>
        <v>97862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f>238841+204687</f>
        <v>443528</v>
      </c>
      <c r="G235" s="18">
        <f>104594+72036</f>
        <v>176630</v>
      </c>
      <c r="H235" s="18">
        <f>91492+6673+34464</f>
        <v>132629</v>
      </c>
      <c r="I235" s="18">
        <f>238019+7512+25196</f>
        <v>270727</v>
      </c>
      <c r="J235" s="18">
        <f>15326+909</f>
        <v>16235</v>
      </c>
      <c r="K235" s="18">
        <v>14819</v>
      </c>
      <c r="L235" s="19">
        <f t="shared" si="4"/>
        <v>1054568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f>310531+400340+2946+28468+50750</f>
        <v>793035</v>
      </c>
      <c r="I236" s="18">
        <v>334</v>
      </c>
      <c r="J236" s="18"/>
      <c r="K236" s="18"/>
      <c r="L236" s="19">
        <f t="shared" si="4"/>
        <v>793369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>
        <v>138185</v>
      </c>
      <c r="G237" s="18">
        <v>10578</v>
      </c>
      <c r="H237" s="18"/>
      <c r="I237" s="18"/>
      <c r="J237" s="18"/>
      <c r="K237" s="18"/>
      <c r="L237" s="19">
        <f>SUM(F237:K237)</f>
        <v>148763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5296935</v>
      </c>
      <c r="G239" s="41">
        <f t="shared" si="5"/>
        <v>2169963</v>
      </c>
      <c r="H239" s="41">
        <f t="shared" si="5"/>
        <v>2805159</v>
      </c>
      <c r="I239" s="41">
        <f t="shared" si="5"/>
        <v>608598</v>
      </c>
      <c r="J239" s="41">
        <f t="shared" si="5"/>
        <v>188760</v>
      </c>
      <c r="K239" s="41">
        <f t="shared" si="5"/>
        <v>52953</v>
      </c>
      <c r="L239" s="41">
        <f t="shared" si="5"/>
        <v>11122368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15753857</v>
      </c>
      <c r="G249" s="41">
        <f t="shared" si="8"/>
        <v>6864987</v>
      </c>
      <c r="H249" s="41">
        <f t="shared" si="8"/>
        <v>7578599</v>
      </c>
      <c r="I249" s="41">
        <f t="shared" si="8"/>
        <v>1545585</v>
      </c>
      <c r="J249" s="41">
        <f t="shared" si="8"/>
        <v>359129</v>
      </c>
      <c r="K249" s="41">
        <f t="shared" si="8"/>
        <v>96918</v>
      </c>
      <c r="L249" s="41">
        <f t="shared" si="8"/>
        <v>32199075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/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/>
      <c r="L253" s="19">
        <f>SUM(F253:K253)</f>
        <v>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>
        <f>1174487</f>
        <v>1174487</v>
      </c>
      <c r="L257" s="19">
        <f t="shared" si="9"/>
        <v>1174487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550000</v>
      </c>
      <c r="L258" s="19">
        <f t="shared" si="9"/>
        <v>550000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1724487</v>
      </c>
      <c r="L262" s="41">
        <f t="shared" si="9"/>
        <v>1724487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15753857</v>
      </c>
      <c r="G263" s="42">
        <f t="shared" si="11"/>
        <v>6864987</v>
      </c>
      <c r="H263" s="42">
        <f t="shared" si="11"/>
        <v>7578599</v>
      </c>
      <c r="I263" s="42">
        <f t="shared" si="11"/>
        <v>1545585</v>
      </c>
      <c r="J263" s="42">
        <f t="shared" si="11"/>
        <v>359129</v>
      </c>
      <c r="K263" s="42">
        <f t="shared" si="11"/>
        <v>1821405</v>
      </c>
      <c r="L263" s="42">
        <f t="shared" si="11"/>
        <v>33923562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f>17001+202686</f>
        <v>219687</v>
      </c>
      <c r="G268" s="18">
        <v>66733</v>
      </c>
      <c r="H268" s="18">
        <f>3863+54032</f>
        <v>57895</v>
      </c>
      <c r="I268" s="18">
        <f>5813+19997</f>
        <v>25810</v>
      </c>
      <c r="J268" s="18">
        <f>5193+5341</f>
        <v>10534</v>
      </c>
      <c r="K268" s="18"/>
      <c r="L268" s="19">
        <f>SUM(F268:K268)</f>
        <v>380659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14818</v>
      </c>
      <c r="G269" s="18">
        <v>1133</v>
      </c>
      <c r="H269" s="18">
        <v>43434</v>
      </c>
      <c r="I269" s="18">
        <v>114366</v>
      </c>
      <c r="J269" s="18"/>
      <c r="K269" s="18"/>
      <c r="L269" s="19">
        <f>SUM(F269:K269)</f>
        <v>173751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>
        <v>331</v>
      </c>
      <c r="I273" s="18"/>
      <c r="J273" s="18"/>
      <c r="K273" s="18"/>
      <c r="L273" s="19">
        <f t="shared" ref="L273:L279" si="12">SUM(F273:K273)</f>
        <v>331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14128</v>
      </c>
      <c r="G274" s="18">
        <v>2110</v>
      </c>
      <c r="H274" s="18">
        <v>56259</v>
      </c>
      <c r="I274" s="18">
        <v>2232</v>
      </c>
      <c r="J274" s="18">
        <v>2436</v>
      </c>
      <c r="K274" s="18">
        <v>56</v>
      </c>
      <c r="L274" s="19">
        <f t="shared" si="12"/>
        <v>77221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>
        <v>625</v>
      </c>
      <c r="I279" s="18"/>
      <c r="J279" s="18"/>
      <c r="K279" s="18"/>
      <c r="L279" s="19">
        <f t="shared" si="12"/>
        <v>625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248633</v>
      </c>
      <c r="G282" s="42">
        <f t="shared" si="13"/>
        <v>69976</v>
      </c>
      <c r="H282" s="42">
        <f t="shared" si="13"/>
        <v>158544</v>
      </c>
      <c r="I282" s="42">
        <f t="shared" si="13"/>
        <v>142408</v>
      </c>
      <c r="J282" s="42">
        <f t="shared" si="13"/>
        <v>12970</v>
      </c>
      <c r="K282" s="42">
        <f t="shared" si="13"/>
        <v>56</v>
      </c>
      <c r="L282" s="41">
        <f t="shared" si="13"/>
        <v>632587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>
        <v>66183</v>
      </c>
      <c r="G287" s="18">
        <v>21790</v>
      </c>
      <c r="H287" s="18">
        <v>17643</v>
      </c>
      <c r="I287" s="18">
        <v>6530</v>
      </c>
      <c r="J287" s="18">
        <v>1744</v>
      </c>
      <c r="K287" s="18"/>
      <c r="L287" s="19">
        <f>SUM(F287:K287)</f>
        <v>113890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v>4839</v>
      </c>
      <c r="G288" s="18">
        <v>371</v>
      </c>
      <c r="H288" s="18">
        <v>14182</v>
      </c>
      <c r="I288" s="18">
        <v>37344</v>
      </c>
      <c r="J288" s="18"/>
      <c r="K288" s="18"/>
      <c r="L288" s="19">
        <f>SUM(F288:K288)</f>
        <v>56736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>
        <v>4613</v>
      </c>
      <c r="G293" s="18">
        <v>689</v>
      </c>
      <c r="H293" s="18">
        <f>108+18370</f>
        <v>18478</v>
      </c>
      <c r="I293" s="18">
        <v>729</v>
      </c>
      <c r="J293" s="18">
        <v>795</v>
      </c>
      <c r="K293" s="18">
        <v>18</v>
      </c>
      <c r="L293" s="19">
        <f t="shared" si="14"/>
        <v>25322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75635</v>
      </c>
      <c r="G301" s="42">
        <f t="shared" si="15"/>
        <v>22850</v>
      </c>
      <c r="H301" s="42">
        <f t="shared" si="15"/>
        <v>50303</v>
      </c>
      <c r="I301" s="42">
        <f t="shared" si="15"/>
        <v>44603</v>
      </c>
      <c r="J301" s="42">
        <f t="shared" si="15"/>
        <v>2539</v>
      </c>
      <c r="K301" s="42">
        <f t="shared" si="15"/>
        <v>18</v>
      </c>
      <c r="L301" s="41">
        <f t="shared" si="15"/>
        <v>195948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v>144775</v>
      </c>
      <c r="G306" s="18">
        <v>47666</v>
      </c>
      <c r="H306" s="18">
        <f>2772+38595</f>
        <v>41367</v>
      </c>
      <c r="I306" s="18">
        <f>269+14284</f>
        <v>14553</v>
      </c>
      <c r="J306" s="18">
        <f>2867+3815</f>
        <v>6682</v>
      </c>
      <c r="K306" s="18"/>
      <c r="L306" s="19">
        <f>SUM(F306:K306)</f>
        <v>255043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v>10584</v>
      </c>
      <c r="G307" s="18">
        <v>810</v>
      </c>
      <c r="H307" s="18">
        <v>31024</v>
      </c>
      <c r="I307" s="18">
        <v>81690</v>
      </c>
      <c r="J307" s="18"/>
      <c r="K307" s="18"/>
      <c r="L307" s="19">
        <f>SUM(F307:K307)</f>
        <v>124108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>
        <v>4622</v>
      </c>
      <c r="G311" s="18">
        <v>695</v>
      </c>
      <c r="H311" s="18"/>
      <c r="I311" s="18">
        <v>385</v>
      </c>
      <c r="J311" s="18"/>
      <c r="K311" s="18"/>
      <c r="L311" s="19">
        <f t="shared" ref="L311:L317" si="16">SUM(F311:K311)</f>
        <v>5702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>
        <v>10091</v>
      </c>
      <c r="G312" s="18">
        <v>1507</v>
      </c>
      <c r="H312" s="18">
        <f>235+40185</f>
        <v>40420</v>
      </c>
      <c r="I312" s="18">
        <v>1594</v>
      </c>
      <c r="J312" s="18">
        <v>1740</v>
      </c>
      <c r="K312" s="18">
        <v>41</v>
      </c>
      <c r="L312" s="19">
        <f t="shared" si="16"/>
        <v>55393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>
        <v>1233</v>
      </c>
      <c r="G316" s="18">
        <v>203</v>
      </c>
      <c r="H316" s="18"/>
      <c r="I316" s="18">
        <v>4500</v>
      </c>
      <c r="J316" s="18"/>
      <c r="K316" s="18"/>
      <c r="L316" s="19">
        <f t="shared" si="16"/>
        <v>5936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171305</v>
      </c>
      <c r="G320" s="42">
        <f t="shared" si="17"/>
        <v>50881</v>
      </c>
      <c r="H320" s="42">
        <f t="shared" si="17"/>
        <v>112811</v>
      </c>
      <c r="I320" s="42">
        <f t="shared" si="17"/>
        <v>102722</v>
      </c>
      <c r="J320" s="42">
        <f t="shared" si="17"/>
        <v>8422</v>
      </c>
      <c r="K320" s="42">
        <f t="shared" si="17"/>
        <v>41</v>
      </c>
      <c r="L320" s="41">
        <f t="shared" si="17"/>
        <v>446182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495573</v>
      </c>
      <c r="G330" s="41">
        <f t="shared" si="20"/>
        <v>143707</v>
      </c>
      <c r="H330" s="41">
        <f t="shared" si="20"/>
        <v>321658</v>
      </c>
      <c r="I330" s="41">
        <f t="shared" si="20"/>
        <v>289733</v>
      </c>
      <c r="J330" s="41">
        <f t="shared" si="20"/>
        <v>23931</v>
      </c>
      <c r="K330" s="41">
        <f t="shared" si="20"/>
        <v>115</v>
      </c>
      <c r="L330" s="41">
        <f t="shared" si="20"/>
        <v>1274717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>
        <v>20903</v>
      </c>
      <c r="L336" s="19">
        <f t="shared" ref="L336:L342" si="21">SUM(F336:K336)</f>
        <v>20903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20903</v>
      </c>
      <c r="L343" s="41">
        <f>SUM(L333:L342)</f>
        <v>20903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495573</v>
      </c>
      <c r="G344" s="41">
        <f>G330</f>
        <v>143707</v>
      </c>
      <c r="H344" s="41">
        <f>H330</f>
        <v>321658</v>
      </c>
      <c r="I344" s="41">
        <f>I330</f>
        <v>289733</v>
      </c>
      <c r="J344" s="41">
        <f>J330</f>
        <v>23931</v>
      </c>
      <c r="K344" s="47">
        <f>K330+K343</f>
        <v>21018</v>
      </c>
      <c r="L344" s="41">
        <f>L330+L343</f>
        <v>1295620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172336</v>
      </c>
      <c r="G350" s="18">
        <v>69912</v>
      </c>
      <c r="H350" s="18">
        <v>8363</v>
      </c>
      <c r="I350" s="18">
        <v>203328</v>
      </c>
      <c r="J350" s="18">
        <v>440</v>
      </c>
      <c r="K350" s="18">
        <v>75</v>
      </c>
      <c r="L350" s="13">
        <f>SUM(F350:K350)</f>
        <v>454454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v>56273</v>
      </c>
      <c r="G351" s="18">
        <v>22828</v>
      </c>
      <c r="H351" s="18">
        <v>2731</v>
      </c>
      <c r="I351" s="18">
        <v>66393</v>
      </c>
      <c r="J351" s="18">
        <v>143</v>
      </c>
      <c r="K351" s="18">
        <v>24</v>
      </c>
      <c r="L351" s="19">
        <f>SUM(F351:K351)</f>
        <v>148392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v>123098</v>
      </c>
      <c r="G352" s="18">
        <v>49937</v>
      </c>
      <c r="H352" s="18">
        <v>5973</v>
      </c>
      <c r="I352" s="18">
        <v>145235</v>
      </c>
      <c r="J352" s="18">
        <v>314</v>
      </c>
      <c r="K352" s="18">
        <v>53</v>
      </c>
      <c r="L352" s="19">
        <f>SUM(F352:K352)</f>
        <v>324610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351707</v>
      </c>
      <c r="G354" s="47">
        <f t="shared" si="22"/>
        <v>142677</v>
      </c>
      <c r="H354" s="47">
        <f t="shared" si="22"/>
        <v>17067</v>
      </c>
      <c r="I354" s="47">
        <f t="shared" si="22"/>
        <v>414956</v>
      </c>
      <c r="J354" s="47">
        <f t="shared" si="22"/>
        <v>897</v>
      </c>
      <c r="K354" s="47">
        <f t="shared" si="22"/>
        <v>152</v>
      </c>
      <c r="L354" s="47">
        <f t="shared" si="22"/>
        <v>927456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184627</v>
      </c>
      <c r="G359" s="18">
        <v>60286</v>
      </c>
      <c r="H359" s="18">
        <v>131876</v>
      </c>
      <c r="I359" s="56">
        <f>SUM(F359:H359)</f>
        <v>376789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18702</v>
      </c>
      <c r="G360" s="63">
        <v>6107</v>
      </c>
      <c r="H360" s="63">
        <v>13358</v>
      </c>
      <c r="I360" s="56">
        <f>SUM(F360:H360)</f>
        <v>38167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203329</v>
      </c>
      <c r="G361" s="47">
        <f>SUM(G359:G360)</f>
        <v>66393</v>
      </c>
      <c r="H361" s="47">
        <f>SUM(H359:H360)</f>
        <v>145234</v>
      </c>
      <c r="I361" s="47">
        <f>SUM(I359:I360)</f>
        <v>414956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>
        <v>476676</v>
      </c>
      <c r="K371" s="18"/>
      <c r="L371" s="13">
        <f t="shared" si="23"/>
        <v>476676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476676</v>
      </c>
      <c r="K374" s="47">
        <f t="shared" si="24"/>
        <v>0</v>
      </c>
      <c r="L374" s="47">
        <f t="shared" si="24"/>
        <v>476676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>
        <v>500000</v>
      </c>
      <c r="H381" s="18">
        <v>5363</v>
      </c>
      <c r="I381" s="18"/>
      <c r="J381" s="24" t="s">
        <v>312</v>
      </c>
      <c r="K381" s="24" t="s">
        <v>312</v>
      </c>
      <c r="L381" s="56">
        <f t="shared" si="25"/>
        <v>505363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500000</v>
      </c>
      <c r="H385" s="139">
        <f>SUM(H379:H384)</f>
        <v>5363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505363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>
        <v>161</v>
      </c>
      <c r="I388" s="18"/>
      <c r="J388" s="24" t="s">
        <v>312</v>
      </c>
      <c r="K388" s="24" t="s">
        <v>312</v>
      </c>
      <c r="L388" s="56">
        <f t="shared" si="26"/>
        <v>161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>
        <v>50000</v>
      </c>
      <c r="H389" s="18">
        <v>485</v>
      </c>
      <c r="I389" s="18"/>
      <c r="J389" s="24" t="s">
        <v>312</v>
      </c>
      <c r="K389" s="24" t="s">
        <v>312</v>
      </c>
      <c r="L389" s="56">
        <f t="shared" si="26"/>
        <v>50485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50000</v>
      </c>
      <c r="H393" s="47">
        <f>SUM(H387:H392)</f>
        <v>646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50646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550000</v>
      </c>
      <c r="H400" s="47">
        <f>H385+H393+H399</f>
        <v>6009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556009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>
        <v>22555</v>
      </c>
      <c r="L414" s="56">
        <f t="shared" si="29"/>
        <v>22555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22555</v>
      </c>
      <c r="L419" s="47">
        <f t="shared" si="30"/>
        <v>22555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22555</v>
      </c>
      <c r="L426" s="47">
        <f t="shared" si="32"/>
        <v>22555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>
        <v>999367</v>
      </c>
      <c r="G434" s="18">
        <v>202540</v>
      </c>
      <c r="H434" s="18"/>
      <c r="I434" s="56">
        <f t="shared" si="33"/>
        <v>1201907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999367</v>
      </c>
      <c r="G438" s="13">
        <f>SUM(G431:G437)</f>
        <v>202540</v>
      </c>
      <c r="H438" s="13">
        <f>SUM(H431:H437)</f>
        <v>0</v>
      </c>
      <c r="I438" s="13">
        <f>SUM(I431:I437)</f>
        <v>1201907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>
        <v>776930</v>
      </c>
      <c r="G440" s="18"/>
      <c r="H440" s="18"/>
      <c r="I440" s="56">
        <f>SUM(F440:H440)</f>
        <v>776930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776930</v>
      </c>
      <c r="G444" s="72">
        <f>SUM(G440:G443)</f>
        <v>0</v>
      </c>
      <c r="H444" s="72">
        <f>SUM(H440:H443)</f>
        <v>0</v>
      </c>
      <c r="I444" s="72">
        <f>SUM(I440:I443)</f>
        <v>776930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222437</v>
      </c>
      <c r="G449" s="18">
        <v>202540</v>
      </c>
      <c r="H449" s="18"/>
      <c r="I449" s="56">
        <f>SUM(F449:H449)</f>
        <v>424977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222437</v>
      </c>
      <c r="G450" s="83">
        <f>SUM(G446:G449)</f>
        <v>202540</v>
      </c>
      <c r="H450" s="83">
        <f>SUM(H446:H449)</f>
        <v>0</v>
      </c>
      <c r="I450" s="83">
        <f>SUM(I446:I449)</f>
        <v>424977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999367</v>
      </c>
      <c r="G451" s="42">
        <f>G444+G450</f>
        <v>202540</v>
      </c>
      <c r="H451" s="42">
        <f>H444+H450</f>
        <v>0</v>
      </c>
      <c r="I451" s="42">
        <f>I444+I450</f>
        <v>1201907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1413225</v>
      </c>
      <c r="G455" s="18">
        <v>44156</v>
      </c>
      <c r="H455" s="18">
        <v>0</v>
      </c>
      <c r="I455" s="18">
        <v>342305</v>
      </c>
      <c r="J455" s="18">
        <v>554746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32415448</v>
      </c>
      <c r="G458" s="18">
        <v>944561</v>
      </c>
      <c r="H458" s="18">
        <v>1276740</v>
      </c>
      <c r="I458" s="18">
        <f>1174487</f>
        <v>1174487</v>
      </c>
      <c r="J458" s="18">
        <v>556009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32415448</v>
      </c>
      <c r="G460" s="53">
        <f>SUM(G458:G459)</f>
        <v>944561</v>
      </c>
      <c r="H460" s="53">
        <f>SUM(H458:H459)</f>
        <v>1276740</v>
      </c>
      <c r="I460" s="53">
        <f>SUM(I458:I459)</f>
        <v>1174487</v>
      </c>
      <c r="J460" s="53">
        <f>SUM(J458:J459)</f>
        <v>556009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33923562</v>
      </c>
      <c r="G462" s="18">
        <v>927456</v>
      </c>
      <c r="H462" s="18">
        <v>1295620</v>
      </c>
      <c r="I462" s="18">
        <v>476676</v>
      </c>
      <c r="J462" s="18">
        <v>22555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>
        <v>89956</v>
      </c>
      <c r="G463" s="18"/>
      <c r="H463" s="18"/>
      <c r="I463" s="18"/>
      <c r="J463" s="18">
        <v>663223</v>
      </c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34013518</v>
      </c>
      <c r="G464" s="53">
        <f>SUM(G462:G463)</f>
        <v>927456</v>
      </c>
      <c r="H464" s="53">
        <f>SUM(H462:H463)</f>
        <v>1295620</v>
      </c>
      <c r="I464" s="53">
        <f>SUM(I462:I463)</f>
        <v>476676</v>
      </c>
      <c r="J464" s="53">
        <f>SUM(J462:J463)</f>
        <v>685778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-184845</v>
      </c>
      <c r="G466" s="53">
        <f>(G455+G460)- G464</f>
        <v>61261</v>
      </c>
      <c r="H466" s="53">
        <f>(H455+H460)- H464</f>
        <v>-18880</v>
      </c>
      <c r="I466" s="53">
        <f>(I455+I460)- I464</f>
        <v>1040116</v>
      </c>
      <c r="J466" s="53">
        <f>(J455+J460)- J464</f>
        <v>424977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 t="s">
        <v>895</v>
      </c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 t="s">
        <v>896</v>
      </c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2523337</v>
      </c>
      <c r="G511" s="18">
        <v>1685142</v>
      </c>
      <c r="H511" s="18">
        <f>14810+744554</f>
        <v>759364</v>
      </c>
      <c r="I511" s="18">
        <v>27123</v>
      </c>
      <c r="J511" s="18">
        <v>9659</v>
      </c>
      <c r="K511" s="18">
        <v>69</v>
      </c>
      <c r="L511" s="88">
        <f>SUM(F511:K511)</f>
        <v>5004694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v>462598</v>
      </c>
      <c r="G512" s="18">
        <v>231020</v>
      </c>
      <c r="H512" s="18">
        <f>4836+243120</f>
        <v>247956</v>
      </c>
      <c r="I512" s="18">
        <v>5307</v>
      </c>
      <c r="J512" s="18">
        <v>341</v>
      </c>
      <c r="K512" s="18">
        <v>260</v>
      </c>
      <c r="L512" s="88">
        <f>SUM(F512:K512)</f>
        <v>947482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923583</v>
      </c>
      <c r="G513" s="18">
        <v>550604</v>
      </c>
      <c r="H513" s="18">
        <f>10578+531824</f>
        <v>542402</v>
      </c>
      <c r="I513" s="18">
        <f>8815+747</f>
        <v>9562</v>
      </c>
      <c r="J513" s="18">
        <v>4013</v>
      </c>
      <c r="K513" s="18">
        <v>530</v>
      </c>
      <c r="L513" s="88">
        <f>SUM(F513:K513)</f>
        <v>2030694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3909518</v>
      </c>
      <c r="G514" s="108">
        <f t="shared" ref="G514:L514" si="35">SUM(G511:G513)</f>
        <v>2466766</v>
      </c>
      <c r="H514" s="108">
        <f t="shared" si="35"/>
        <v>1549722</v>
      </c>
      <c r="I514" s="108">
        <f t="shared" si="35"/>
        <v>41992</v>
      </c>
      <c r="J514" s="108">
        <f t="shared" si="35"/>
        <v>14013</v>
      </c>
      <c r="K514" s="108">
        <f t="shared" si="35"/>
        <v>859</v>
      </c>
      <c r="L514" s="89">
        <f t="shared" si="35"/>
        <v>7982870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>
        <v>196137</v>
      </c>
      <c r="I516" s="18"/>
      <c r="J516" s="18"/>
      <c r="K516" s="18"/>
      <c r="L516" s="88">
        <f>SUM(F516:K516)</f>
        <v>196137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>
        <v>64045</v>
      </c>
      <c r="I517" s="18"/>
      <c r="J517" s="18"/>
      <c r="K517" s="18"/>
      <c r="L517" s="88">
        <f>SUM(F517:K517)</f>
        <v>64045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>
        <v>140098</v>
      </c>
      <c r="I518" s="18"/>
      <c r="J518" s="18"/>
      <c r="K518" s="18"/>
      <c r="L518" s="88">
        <f>SUM(F518:K518)</f>
        <v>140098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6">SUM(G516:G518)</f>
        <v>0</v>
      </c>
      <c r="H519" s="89">
        <f t="shared" si="36"/>
        <v>400280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400280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/>
      <c r="G521" s="18"/>
      <c r="H521" s="18">
        <v>332258</v>
      </c>
      <c r="I521" s="18"/>
      <c r="J521" s="18"/>
      <c r="K521" s="18"/>
      <c r="L521" s="88">
        <f>SUM(F521:K521)</f>
        <v>332258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>
        <v>108492</v>
      </c>
      <c r="I522" s="18"/>
      <c r="J522" s="18"/>
      <c r="K522" s="18"/>
      <c r="L522" s="88">
        <f>SUM(F522:K522)</f>
        <v>108492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>
        <v>237327</v>
      </c>
      <c r="I523" s="18"/>
      <c r="J523" s="18"/>
      <c r="K523" s="18"/>
      <c r="L523" s="88">
        <f>SUM(F523:K523)</f>
        <v>237327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0</v>
      </c>
      <c r="G524" s="89">
        <f t="shared" ref="G524:L524" si="37">SUM(G521:G523)</f>
        <v>0</v>
      </c>
      <c r="H524" s="89">
        <f t="shared" si="37"/>
        <v>678077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678077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v>446</v>
      </c>
      <c r="I526" s="18"/>
      <c r="J526" s="18"/>
      <c r="K526" s="18"/>
      <c r="L526" s="88">
        <f>SUM(F526:K526)</f>
        <v>446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>
        <v>146</v>
      </c>
      <c r="I527" s="18"/>
      <c r="J527" s="18"/>
      <c r="K527" s="18"/>
      <c r="L527" s="88">
        <f>SUM(F527:K527)</f>
        <v>146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>
        <v>319</v>
      </c>
      <c r="I528" s="18"/>
      <c r="J528" s="18"/>
      <c r="K528" s="18"/>
      <c r="L528" s="88">
        <f>SUM(F528:K528)</f>
        <v>319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911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911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434743</v>
      </c>
      <c r="I531" s="18"/>
      <c r="J531" s="18"/>
      <c r="K531" s="18"/>
      <c r="L531" s="88">
        <f>SUM(F531:K531)</f>
        <v>434743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>
        <v>141957</v>
      </c>
      <c r="I532" s="18"/>
      <c r="J532" s="18"/>
      <c r="K532" s="18"/>
      <c r="L532" s="88">
        <f>SUM(F532:K532)</f>
        <v>141957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310531</v>
      </c>
      <c r="I533" s="18"/>
      <c r="J533" s="18"/>
      <c r="K533" s="18"/>
      <c r="L533" s="88">
        <f>SUM(F533:K533)</f>
        <v>310531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887231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887231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3909518</v>
      </c>
      <c r="G535" s="89">
        <f t="shared" ref="G535:L535" si="40">G514+G519+G524+G529+G534</f>
        <v>2466766</v>
      </c>
      <c r="H535" s="89">
        <f t="shared" si="40"/>
        <v>3516221</v>
      </c>
      <c r="I535" s="89">
        <f t="shared" si="40"/>
        <v>41992</v>
      </c>
      <c r="J535" s="89">
        <f t="shared" si="40"/>
        <v>14013</v>
      </c>
      <c r="K535" s="89">
        <f t="shared" si="40"/>
        <v>859</v>
      </c>
      <c r="L535" s="89">
        <f t="shared" si="40"/>
        <v>9949369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5004694</v>
      </c>
      <c r="G539" s="87">
        <f>L516</f>
        <v>196137</v>
      </c>
      <c r="H539" s="87">
        <f>L521</f>
        <v>332258</v>
      </c>
      <c r="I539" s="87">
        <f>L526</f>
        <v>446</v>
      </c>
      <c r="J539" s="87">
        <f>L531</f>
        <v>434743</v>
      </c>
      <c r="K539" s="87">
        <f>SUM(F539:J539)</f>
        <v>5968278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947482</v>
      </c>
      <c r="G540" s="87">
        <f>L517</f>
        <v>64045</v>
      </c>
      <c r="H540" s="87">
        <f>L522</f>
        <v>108492</v>
      </c>
      <c r="I540" s="87">
        <f>L527</f>
        <v>146</v>
      </c>
      <c r="J540" s="87">
        <f>L532</f>
        <v>141957</v>
      </c>
      <c r="K540" s="87">
        <f>SUM(F540:J540)</f>
        <v>1262122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2030694</v>
      </c>
      <c r="G541" s="87">
        <f>L518</f>
        <v>140098</v>
      </c>
      <c r="H541" s="87">
        <f>L523</f>
        <v>237327</v>
      </c>
      <c r="I541" s="87">
        <f>L528</f>
        <v>319</v>
      </c>
      <c r="J541" s="87">
        <f>L533</f>
        <v>310531</v>
      </c>
      <c r="K541" s="87">
        <f>SUM(F541:J541)</f>
        <v>2718969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7982870</v>
      </c>
      <c r="G542" s="89">
        <f t="shared" si="41"/>
        <v>400280</v>
      </c>
      <c r="H542" s="89">
        <f t="shared" si="41"/>
        <v>678077</v>
      </c>
      <c r="I542" s="89">
        <f t="shared" si="41"/>
        <v>911</v>
      </c>
      <c r="J542" s="89">
        <f t="shared" si="41"/>
        <v>887231</v>
      </c>
      <c r="K542" s="89">
        <f t="shared" si="41"/>
        <v>9949369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>
        <v>20997</v>
      </c>
      <c r="G552" s="18">
        <v>11112</v>
      </c>
      <c r="H552" s="18"/>
      <c r="I552" s="18"/>
      <c r="J552" s="18"/>
      <c r="K552" s="18"/>
      <c r="L552" s="88">
        <f>SUM(F552:K552)</f>
        <v>32109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>
        <v>6856</v>
      </c>
      <c r="G553" s="18">
        <v>3628</v>
      </c>
      <c r="H553" s="18"/>
      <c r="I553" s="18"/>
      <c r="J553" s="18"/>
      <c r="K553" s="18"/>
      <c r="L553" s="88">
        <f>SUM(F553:K553)</f>
        <v>10484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>
        <v>14997</v>
      </c>
      <c r="G554" s="18">
        <v>7937</v>
      </c>
      <c r="H554" s="18"/>
      <c r="I554" s="18"/>
      <c r="J554" s="18"/>
      <c r="K554" s="18"/>
      <c r="L554" s="88">
        <f>SUM(F554:K554)</f>
        <v>22934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42850</v>
      </c>
      <c r="G555" s="89">
        <f t="shared" si="43"/>
        <v>22677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65527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42850</v>
      </c>
      <c r="G561" s="89">
        <f t="shared" ref="G561:L561" si="45">G550+G555+G560</f>
        <v>22677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65527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>
        <v>3450</v>
      </c>
      <c r="G565" s="18"/>
      <c r="H565" s="18">
        <v>14347</v>
      </c>
      <c r="I565" s="87">
        <f>SUM(F565:H565)</f>
        <v>17797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14810</v>
      </c>
      <c r="G569" s="18">
        <v>4836</v>
      </c>
      <c r="H569" s="18">
        <v>10578</v>
      </c>
      <c r="I569" s="87">
        <f t="shared" si="46"/>
        <v>30224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744554</v>
      </c>
      <c r="G572" s="18">
        <v>243120</v>
      </c>
      <c r="H572" s="18">
        <v>531824</v>
      </c>
      <c r="I572" s="87">
        <f t="shared" si="46"/>
        <v>1519498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>
        <v>44554</v>
      </c>
      <c r="I574" s="87">
        <f t="shared" si="46"/>
        <v>44554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560477</v>
      </c>
      <c r="I581" s="18">
        <v>183013</v>
      </c>
      <c r="J581" s="18">
        <v>400341</v>
      </c>
      <c r="K581" s="104">
        <f t="shared" ref="K581:K587" si="47">SUM(H581:J581)</f>
        <v>1143831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434743</v>
      </c>
      <c r="I582" s="18">
        <v>141957</v>
      </c>
      <c r="J582" s="18">
        <v>310531</v>
      </c>
      <c r="K582" s="104">
        <f t="shared" si="47"/>
        <v>887231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v>28468</v>
      </c>
      <c r="K583" s="104">
        <f t="shared" si="47"/>
        <v>28468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>
        <v>21750</v>
      </c>
      <c r="J584" s="18">
        <v>50749</v>
      </c>
      <c r="K584" s="104">
        <f t="shared" si="47"/>
        <v>72499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4592</v>
      </c>
      <c r="I585" s="18">
        <v>1498</v>
      </c>
      <c r="J585" s="18">
        <v>3280</v>
      </c>
      <c r="K585" s="104">
        <f t="shared" si="47"/>
        <v>9370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999812</v>
      </c>
      <c r="I588" s="108">
        <f>SUM(I581:I587)</f>
        <v>348218</v>
      </c>
      <c r="J588" s="108">
        <f>SUM(J581:J587)</f>
        <v>793369</v>
      </c>
      <c r="K588" s="108">
        <f>SUM(K581:K587)</f>
        <v>2141399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f>12970+95524</f>
        <v>108494</v>
      </c>
      <c r="I594" s="18">
        <f>74845+2539</f>
        <v>77384</v>
      </c>
      <c r="J594" s="18">
        <f>188760+8422</f>
        <v>197182</v>
      </c>
      <c r="K594" s="104">
        <f>SUM(H594:J594)</f>
        <v>383060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108494</v>
      </c>
      <c r="I595" s="108">
        <f>SUM(I592:I594)</f>
        <v>77384</v>
      </c>
      <c r="J595" s="108">
        <f>SUM(J592:J594)</f>
        <v>197182</v>
      </c>
      <c r="K595" s="108">
        <f>SUM(K592:K594)</f>
        <v>383060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25596</v>
      </c>
      <c r="G601" s="18">
        <v>4303</v>
      </c>
      <c r="H601" s="18">
        <v>44945</v>
      </c>
      <c r="I601" s="18">
        <v>2100</v>
      </c>
      <c r="J601" s="18"/>
      <c r="K601" s="18"/>
      <c r="L601" s="88">
        <f>SUM(F601:K601)</f>
        <v>76944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>
        <v>2496</v>
      </c>
      <c r="G602" s="18">
        <v>420</v>
      </c>
      <c r="H602" s="18">
        <v>14676</v>
      </c>
      <c r="I602" s="18"/>
      <c r="J602" s="18"/>
      <c r="K602" s="18"/>
      <c r="L602" s="88">
        <f>SUM(F602:K602)</f>
        <v>17592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v>5760</v>
      </c>
      <c r="G603" s="18">
        <v>968</v>
      </c>
      <c r="H603" s="18">
        <v>32104</v>
      </c>
      <c r="I603" s="18"/>
      <c r="J603" s="18"/>
      <c r="K603" s="18"/>
      <c r="L603" s="88">
        <f>SUM(F603:K603)</f>
        <v>38832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33852</v>
      </c>
      <c r="G604" s="108">
        <f t="shared" si="48"/>
        <v>5691</v>
      </c>
      <c r="H604" s="108">
        <f t="shared" si="48"/>
        <v>91725</v>
      </c>
      <c r="I604" s="108">
        <f t="shared" si="48"/>
        <v>2100</v>
      </c>
      <c r="J604" s="108">
        <f t="shared" si="48"/>
        <v>0</v>
      </c>
      <c r="K604" s="108">
        <f t="shared" si="48"/>
        <v>0</v>
      </c>
      <c r="L604" s="89">
        <f t="shared" si="48"/>
        <v>133368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2016028</v>
      </c>
      <c r="H607" s="109">
        <f>SUM(F44)</f>
        <v>2016028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79959</v>
      </c>
      <c r="H608" s="109">
        <f>SUM(G44)</f>
        <v>79959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313499</v>
      </c>
      <c r="H609" s="109">
        <f>SUM(H44)</f>
        <v>313499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1998801</v>
      </c>
      <c r="H610" s="109">
        <f>SUM(I44)</f>
        <v>1998801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1201907</v>
      </c>
      <c r="H611" s="109">
        <f>SUM(J44)</f>
        <v>1201907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-184845</v>
      </c>
      <c r="H612" s="109">
        <f>F466</f>
        <v>-184845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61261</v>
      </c>
      <c r="H613" s="109">
        <f>G466</f>
        <v>61261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-18880</v>
      </c>
      <c r="H614" s="109">
        <f>H466</f>
        <v>-18880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1040116</v>
      </c>
      <c r="H615" s="109">
        <f>I466</f>
        <v>1040116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424977</v>
      </c>
      <c r="H616" s="109">
        <f>J466</f>
        <v>424977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32415448</v>
      </c>
      <c r="H617" s="104">
        <f>SUM(F458)</f>
        <v>32415448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944561</v>
      </c>
      <c r="H618" s="104">
        <f>SUM(G458)</f>
        <v>944561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1276740</v>
      </c>
      <c r="H619" s="104">
        <f>SUM(H458)</f>
        <v>1276740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1174487</v>
      </c>
      <c r="H620" s="104">
        <f>SUM(I458)</f>
        <v>1174487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556009</v>
      </c>
      <c r="H621" s="104">
        <f>SUM(J458)</f>
        <v>556009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33923562</v>
      </c>
      <c r="H622" s="104">
        <f>SUM(F462)</f>
        <v>33923562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1295620</v>
      </c>
      <c r="H623" s="104">
        <f>SUM(H462)</f>
        <v>1295620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414956</v>
      </c>
      <c r="H624" s="104">
        <f>I361</f>
        <v>414956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927456</v>
      </c>
      <c r="H625" s="104">
        <f>SUM(G462)</f>
        <v>927456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476676</v>
      </c>
      <c r="H626" s="104">
        <f>SUM(I462)</f>
        <v>476676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556009</v>
      </c>
      <c r="H627" s="164">
        <f>SUM(J458)</f>
        <v>556009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22555</v>
      </c>
      <c r="H628" s="164">
        <f>SUM(J462)</f>
        <v>22555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999367</v>
      </c>
      <c r="H629" s="104">
        <f>SUM(F451)</f>
        <v>999367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202540</v>
      </c>
      <c r="H630" s="104">
        <f>SUM(G451)</f>
        <v>202540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1201907</v>
      </c>
      <c r="H632" s="104">
        <f>SUM(I451)</f>
        <v>1201907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6009</v>
      </c>
      <c r="H634" s="104">
        <f>H400</f>
        <v>6009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550000</v>
      </c>
      <c r="H635" s="104">
        <f>G400</f>
        <v>550000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556009</v>
      </c>
      <c r="H636" s="104">
        <f>L400</f>
        <v>556009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2141399</v>
      </c>
      <c r="H637" s="104">
        <f>L200+L218+L236</f>
        <v>2141399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383060</v>
      </c>
      <c r="H638" s="104">
        <f>(J249+J330)-(J247+J328)</f>
        <v>383060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999812</v>
      </c>
      <c r="H639" s="104">
        <f>H588</f>
        <v>999812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348218</v>
      </c>
      <c r="H640" s="104">
        <f>I588</f>
        <v>348218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793369</v>
      </c>
      <c r="H641" s="104">
        <f>J588</f>
        <v>793369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1174487</v>
      </c>
      <c r="H644" s="104">
        <f>K257+K338</f>
        <v>1174487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550000</v>
      </c>
      <c r="H645" s="104">
        <f>K258+K339</f>
        <v>550000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17465549</v>
      </c>
      <c r="G650" s="19">
        <f>(L221+L301+L351)</f>
        <v>5042539</v>
      </c>
      <c r="H650" s="19">
        <f>(L239+L320+L352)</f>
        <v>11893160</v>
      </c>
      <c r="I650" s="19">
        <f>SUM(F650:H650)</f>
        <v>34401248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274927.08877833554</v>
      </c>
      <c r="G651" s="19">
        <f>(L351/IF(SUM(L350:L352)=0,1,SUM(L350:L352))*(SUM(G89:G102)))</f>
        <v>89771.419237139009</v>
      </c>
      <c r="H651" s="19">
        <f>(L352/IF(SUM(L350:L352)=0,1,SUM(L350:L352))*(SUM(G89:G102)))</f>
        <v>196376.4919845254</v>
      </c>
      <c r="I651" s="19">
        <f>SUM(F651:H651)</f>
        <v>561075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1000437</v>
      </c>
      <c r="G652" s="19">
        <f>(L218+L298)-(J218+J298)</f>
        <v>348218</v>
      </c>
      <c r="H652" s="19">
        <f>(L236+L317)-(J236+J317)</f>
        <v>793369</v>
      </c>
      <c r="I652" s="19">
        <f>SUM(F652:H652)</f>
        <v>2142024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948252</v>
      </c>
      <c r="G653" s="200">
        <f>SUM(G565:G577)+SUM(I592:I594)+L602</f>
        <v>342932</v>
      </c>
      <c r="H653" s="200">
        <f>SUM(H565:H577)+SUM(J592:J594)+L603</f>
        <v>837317</v>
      </c>
      <c r="I653" s="19">
        <f>SUM(F653:H653)</f>
        <v>2128501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15241932.911221664</v>
      </c>
      <c r="G654" s="19">
        <f>G650-SUM(G651:G653)</f>
        <v>4261617.5807628613</v>
      </c>
      <c r="H654" s="19">
        <f>H650-SUM(H651:H653)</f>
        <v>10066097.508015474</v>
      </c>
      <c r="I654" s="19">
        <f>I650-SUM(I651:I653)</f>
        <v>29569648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928.93</v>
      </c>
      <c r="G655" s="249">
        <v>304.64999999999998</v>
      </c>
      <c r="H655" s="249">
        <v>641.42999999999995</v>
      </c>
      <c r="I655" s="19">
        <f>SUM(F655:H655)</f>
        <v>1875.0099999999998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16408.05</v>
      </c>
      <c r="G657" s="19">
        <f>ROUND(G654/G655,2)</f>
        <v>13988.57</v>
      </c>
      <c r="H657" s="19">
        <f>ROUND(H654/H655,2)</f>
        <v>15693.21</v>
      </c>
      <c r="I657" s="19">
        <f>ROUND(I654/I655,2)</f>
        <v>15770.39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-16.22</v>
      </c>
      <c r="I660" s="19">
        <f>SUM(F660:H660)</f>
        <v>-16.22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16408.05</v>
      </c>
      <c r="G662" s="19">
        <f>ROUND((G654+G659)/(G655+G660),2)</f>
        <v>13988.57</v>
      </c>
      <c r="H662" s="19">
        <f>ROUND((H654+H659)/(H655+H660),2)</f>
        <v>16100.35</v>
      </c>
      <c r="I662" s="19">
        <f>ROUND((I654+I659)/(I655+I660),2)</f>
        <v>15908.01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11ADD-5ED3-452E-8F9A-F457D3796C31}">
  <sheetPr>
    <tabColor indexed="20"/>
  </sheetPr>
  <dimension ref="A1:C52"/>
  <sheetViews>
    <sheetView workbookViewId="0">
      <selection activeCell="A40" sqref="A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Monadnock Regional School District</v>
      </c>
      <c r="C1" s="239" t="s">
        <v>873</v>
      </c>
    </row>
    <row r="2" spans="1:3" x14ac:dyDescent="0.2">
      <c r="A2" s="234"/>
      <c r="B2" s="233"/>
    </row>
    <row r="3" spans="1:3" x14ac:dyDescent="0.2">
      <c r="A3" s="274" t="s">
        <v>818</v>
      </c>
      <c r="B3" s="274"/>
      <c r="C3" s="274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817</v>
      </c>
      <c r="C6" s="273"/>
    </row>
    <row r="7" spans="1:3" x14ac:dyDescent="0.2">
      <c r="A7" s="240" t="s">
        <v>820</v>
      </c>
      <c r="B7" s="271" t="s">
        <v>816</v>
      </c>
      <c r="C7" s="272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8065579</v>
      </c>
      <c r="C9" s="230">
        <f>'DOE25'!G189+'DOE25'!G207+'DOE25'!G225+'DOE25'!G268+'DOE25'!G287+'DOE25'!G306</f>
        <v>2928646</v>
      </c>
    </row>
    <row r="10" spans="1:3" x14ac:dyDescent="0.2">
      <c r="A10" t="s">
        <v>813</v>
      </c>
      <c r="B10" s="241">
        <f>7533446+430645</f>
        <v>7964091</v>
      </c>
      <c r="C10" s="241">
        <f>2704517+136189</f>
        <v>2840706</v>
      </c>
    </row>
    <row r="11" spans="1:3" x14ac:dyDescent="0.2">
      <c r="A11" t="s">
        <v>814</v>
      </c>
      <c r="B11" s="241">
        <v>95988</v>
      </c>
      <c r="C11" s="241">
        <v>87078</v>
      </c>
    </row>
    <row r="12" spans="1:3" x14ac:dyDescent="0.2">
      <c r="A12" t="s">
        <v>815</v>
      </c>
      <c r="B12" s="241">
        <v>5500</v>
      </c>
      <c r="C12" s="241">
        <v>862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8065579</v>
      </c>
      <c r="C13" s="232">
        <f>SUM(C10:C12)</f>
        <v>2928646</v>
      </c>
    </row>
    <row r="14" spans="1:3" x14ac:dyDescent="0.2">
      <c r="B14" s="231"/>
      <c r="C14" s="231"/>
    </row>
    <row r="15" spans="1:3" x14ac:dyDescent="0.2">
      <c r="B15" s="273" t="s">
        <v>817</v>
      </c>
      <c r="C15" s="273"/>
    </row>
    <row r="16" spans="1:3" x14ac:dyDescent="0.2">
      <c r="A16" s="240" t="s">
        <v>821</v>
      </c>
      <c r="B16" s="271" t="s">
        <v>738</v>
      </c>
      <c r="C16" s="272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3940062</v>
      </c>
      <c r="C18" s="230">
        <f>'DOE25'!G190+'DOE25'!G208+'DOE25'!G226+'DOE25'!G269+'DOE25'!G288+'DOE25'!G307</f>
        <v>2469079</v>
      </c>
    </row>
    <row r="19" spans="1:3" x14ac:dyDescent="0.2">
      <c r="A19" t="s">
        <v>813</v>
      </c>
      <c r="B19" s="241">
        <f>1609322+30242</f>
        <v>1639564</v>
      </c>
      <c r="C19" s="241">
        <v>987632</v>
      </c>
    </row>
    <row r="20" spans="1:3" x14ac:dyDescent="0.2">
      <c r="A20" t="s">
        <v>814</v>
      </c>
      <c r="B20" s="241">
        <v>2012162</v>
      </c>
      <c r="C20" s="241">
        <v>1283921</v>
      </c>
    </row>
    <row r="21" spans="1:3" x14ac:dyDescent="0.2">
      <c r="A21" t="s">
        <v>815</v>
      </c>
      <c r="B21" s="241">
        <v>288336</v>
      </c>
      <c r="C21" s="241">
        <v>197526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3940062</v>
      </c>
      <c r="C22" s="232">
        <f>SUM(C19:C21)</f>
        <v>2469079</v>
      </c>
    </row>
    <row r="23" spans="1:3" x14ac:dyDescent="0.2">
      <c r="B23" s="231"/>
      <c r="C23" s="231"/>
    </row>
    <row r="24" spans="1:3" x14ac:dyDescent="0.2">
      <c r="B24" s="273" t="s">
        <v>817</v>
      </c>
      <c r="C24" s="273"/>
    </row>
    <row r="25" spans="1:3" x14ac:dyDescent="0.2">
      <c r="A25" s="240" t="s">
        <v>822</v>
      </c>
      <c r="B25" s="271" t="s">
        <v>739</v>
      </c>
      <c r="C25" s="272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1200</v>
      </c>
      <c r="C27" s="235">
        <f>'DOE25'!G191+'DOE25'!G209+'DOE25'!G227+'DOE25'!G270+'DOE25'!G289+'DOE25'!G308</f>
        <v>145</v>
      </c>
    </row>
    <row r="28" spans="1:3" x14ac:dyDescent="0.2">
      <c r="A28" t="s">
        <v>813</v>
      </c>
      <c r="B28" s="241">
        <v>1200</v>
      </c>
      <c r="C28" s="241">
        <v>145</v>
      </c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1200</v>
      </c>
      <c r="C31" s="232">
        <f>SUM(C28:C30)</f>
        <v>145</v>
      </c>
    </row>
    <row r="33" spans="1:3" x14ac:dyDescent="0.2">
      <c r="B33" s="273" t="s">
        <v>817</v>
      </c>
      <c r="C33" s="273"/>
    </row>
    <row r="34" spans="1:3" x14ac:dyDescent="0.2">
      <c r="A34" s="240" t="s">
        <v>823</v>
      </c>
      <c r="B34" s="271" t="s">
        <v>740</v>
      </c>
      <c r="C34" s="272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179691</v>
      </c>
      <c r="C36" s="236">
        <f>'DOE25'!G192+'DOE25'!G210+'DOE25'!G228+'DOE25'!G271+'DOE25'!G290+'DOE25'!G309</f>
        <v>26303</v>
      </c>
    </row>
    <row r="37" spans="1:3" x14ac:dyDescent="0.2">
      <c r="A37" t="s">
        <v>813</v>
      </c>
      <c r="B37" s="241">
        <v>53069</v>
      </c>
      <c r="C37" s="241">
        <v>15755</v>
      </c>
    </row>
    <row r="38" spans="1:3" x14ac:dyDescent="0.2">
      <c r="A38" t="s">
        <v>814</v>
      </c>
      <c r="B38" s="241">
        <v>0</v>
      </c>
      <c r="C38" s="241"/>
    </row>
    <row r="39" spans="1:3" x14ac:dyDescent="0.2">
      <c r="A39" t="s">
        <v>815</v>
      </c>
      <c r="B39" s="241">
        <v>126622</v>
      </c>
      <c r="C39" s="241">
        <v>10548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179691</v>
      </c>
      <c r="C40" s="232">
        <f>SUM(C37:C39)</f>
        <v>26303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1C879-9745-4B6D-BBA6-2CA6693128CC}">
  <sheetPr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Monadnock Regional School District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20372935</v>
      </c>
      <c r="D5" s="20">
        <f>SUM('DOE25'!L189:L192)+SUM('DOE25'!L207:L210)+SUM('DOE25'!L225:L228)-F5-G5</f>
        <v>20058782</v>
      </c>
      <c r="E5" s="244"/>
      <c r="F5" s="256">
        <f>SUM('DOE25'!J189:J192)+SUM('DOE25'!J207:J210)+SUM('DOE25'!J225:J228)</f>
        <v>295860</v>
      </c>
      <c r="G5" s="53">
        <f>SUM('DOE25'!K189:K192)+SUM('DOE25'!K207:K210)+SUM('DOE25'!K225:K228)</f>
        <v>18293</v>
      </c>
      <c r="H5" s="260"/>
    </row>
    <row r="6" spans="1:9" x14ac:dyDescent="0.2">
      <c r="A6" s="32">
        <v>2100</v>
      </c>
      <c r="B6" t="s">
        <v>835</v>
      </c>
      <c r="C6" s="246">
        <f t="shared" si="0"/>
        <v>2006003</v>
      </c>
      <c r="D6" s="20">
        <f>'DOE25'!L194+'DOE25'!L212+'DOE25'!L230-F6-G6</f>
        <v>1993737</v>
      </c>
      <c r="E6" s="244"/>
      <c r="F6" s="256">
        <f>'DOE25'!J194+'DOE25'!J212+'DOE25'!J230</f>
        <v>1652</v>
      </c>
      <c r="G6" s="53">
        <f>'DOE25'!K194+'DOE25'!K212+'DOE25'!K230</f>
        <v>10614</v>
      </c>
      <c r="H6" s="260"/>
    </row>
    <row r="7" spans="1:9" x14ac:dyDescent="0.2">
      <c r="A7" s="32">
        <v>2200</v>
      </c>
      <c r="B7" t="s">
        <v>868</v>
      </c>
      <c r="C7" s="246">
        <f t="shared" si="0"/>
        <v>622693</v>
      </c>
      <c r="D7" s="20">
        <f>'DOE25'!L195+'DOE25'!L213+'DOE25'!L231-F7-G7</f>
        <v>618311</v>
      </c>
      <c r="E7" s="244"/>
      <c r="F7" s="256">
        <f>'DOE25'!J195+'DOE25'!J213+'DOE25'!J231</f>
        <v>4382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836</v>
      </c>
      <c r="C8" s="246">
        <f t="shared" si="0"/>
        <v>935760</v>
      </c>
      <c r="D8" s="244"/>
      <c r="E8" s="20">
        <f>'DOE25'!L196+'DOE25'!L214+'DOE25'!L232-F8-G8-D9-D11</f>
        <v>935158</v>
      </c>
      <c r="F8" s="256">
        <f>'DOE25'!J196+'DOE25'!J214+'DOE25'!J232</f>
        <v>602</v>
      </c>
      <c r="G8" s="53">
        <f>'DOE25'!K196+'DOE25'!K214+'DOE25'!K232</f>
        <v>0</v>
      </c>
      <c r="H8" s="260"/>
    </row>
    <row r="9" spans="1:9" x14ac:dyDescent="0.2">
      <c r="A9" s="32">
        <v>2310</v>
      </c>
      <c r="B9" t="s">
        <v>852</v>
      </c>
      <c r="C9" s="246">
        <f t="shared" si="0"/>
        <v>319810</v>
      </c>
      <c r="D9" s="245">
        <v>319810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10816</v>
      </c>
      <c r="D10" s="244"/>
      <c r="E10" s="245">
        <v>10816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274817</v>
      </c>
      <c r="D11" s="245">
        <v>274817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1843128</v>
      </c>
      <c r="D12" s="20">
        <f>'DOE25'!L197+'DOE25'!L215+'DOE25'!L233-F12-G12</f>
        <v>1806587</v>
      </c>
      <c r="E12" s="244"/>
      <c r="F12" s="256">
        <f>'DOE25'!J197+'DOE25'!J215+'DOE25'!J233</f>
        <v>22822</v>
      </c>
      <c r="G12" s="53">
        <f>'DOE25'!K197+'DOE25'!K215+'DOE25'!K233</f>
        <v>13719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280642</v>
      </c>
      <c r="D13" s="244"/>
      <c r="E13" s="20">
        <f>'DOE25'!L198+'DOE25'!L216+'DOE25'!L234-F13-G13</f>
        <v>268691</v>
      </c>
      <c r="F13" s="256">
        <f>'DOE25'!J198+'DOE25'!J216+'DOE25'!J234</f>
        <v>0</v>
      </c>
      <c r="G13" s="53">
        <f>'DOE25'!K198+'DOE25'!K216+'DOE25'!K234</f>
        <v>11951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2976664</v>
      </c>
      <c r="D14" s="20">
        <f>'DOE25'!L199+'DOE25'!L217+'DOE25'!L235-F14-G14</f>
        <v>2900512</v>
      </c>
      <c r="E14" s="244"/>
      <c r="F14" s="256">
        <f>'DOE25'!J199+'DOE25'!J217+'DOE25'!J235</f>
        <v>33811</v>
      </c>
      <c r="G14" s="53">
        <f>'DOE25'!K199+'DOE25'!K217+'DOE25'!K235</f>
        <v>42341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2141399</v>
      </c>
      <c r="D15" s="20">
        <f>'DOE25'!L200+'DOE25'!L218+'DOE25'!L236-F15-G15</f>
        <v>2141399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425224</v>
      </c>
      <c r="D16" s="244"/>
      <c r="E16" s="20">
        <f>'DOE25'!L201+'DOE25'!L219+'DOE25'!L237-F16-G16</f>
        <v>425224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0</v>
      </c>
      <c r="D25" s="244"/>
      <c r="E25" s="244"/>
      <c r="F25" s="259"/>
      <c r="G25" s="257"/>
      <c r="H25" s="258">
        <f>'DOE25'!L252+'DOE25'!L253+'DOE25'!L333+'DOE25'!L334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550667</v>
      </c>
      <c r="D29" s="20">
        <f>'DOE25'!L350+'DOE25'!L351+'DOE25'!L352-'DOE25'!I359-F29-G29</f>
        <v>549618</v>
      </c>
      <c r="E29" s="244"/>
      <c r="F29" s="256">
        <f>'DOE25'!J350+'DOE25'!J351+'DOE25'!J352</f>
        <v>897</v>
      </c>
      <c r="G29" s="53">
        <f>'DOE25'!K350+'DOE25'!K351+'DOE25'!K352</f>
        <v>152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1274717</v>
      </c>
      <c r="D31" s="20">
        <f>'DOE25'!L282+'DOE25'!L301+'DOE25'!L320+'DOE25'!L325+'DOE25'!L326+'DOE25'!L327-F31-G31</f>
        <v>1250671</v>
      </c>
      <c r="E31" s="244"/>
      <c r="F31" s="256">
        <f>'DOE25'!J282+'DOE25'!J301+'DOE25'!J320+'DOE25'!J325+'DOE25'!J326+'DOE25'!J327</f>
        <v>23931</v>
      </c>
      <c r="G31" s="53">
        <f>'DOE25'!K282+'DOE25'!K301+'DOE25'!K320+'DOE25'!K325+'DOE25'!K326+'DOE25'!K327</f>
        <v>115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31914244</v>
      </c>
      <c r="E33" s="247">
        <f>SUM(E5:E31)</f>
        <v>1639889</v>
      </c>
      <c r="F33" s="247">
        <f>SUM(F5:F31)</f>
        <v>383957</v>
      </c>
      <c r="G33" s="247">
        <f>SUM(G5:G31)</f>
        <v>97185</v>
      </c>
      <c r="H33" s="247">
        <f>SUM(H5:H31)</f>
        <v>0</v>
      </c>
    </row>
    <row r="35" spans="2:8" ht="12" thickBot="1" x14ac:dyDescent="0.25">
      <c r="B35" s="254" t="s">
        <v>881</v>
      </c>
      <c r="D35" s="255">
        <f>E33</f>
        <v>1639889</v>
      </c>
      <c r="E35" s="250"/>
    </row>
    <row r="36" spans="2:8" ht="12" thickTop="1" x14ac:dyDescent="0.2">
      <c r="B36" t="s">
        <v>849</v>
      </c>
      <c r="D36" s="20">
        <f>D33</f>
        <v>31914244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F35F-1B6B-4EFF-B130-F0F752E72CE8}">
  <sheetPr transitionEvaluation="1" codeName="Sheet2">
    <tabColor indexed="10"/>
  </sheetPr>
  <dimension ref="A1:I156"/>
  <sheetViews>
    <sheetView zoomScale="75" workbookViewId="0">
      <pane ySplit="2" topLeftCell="A70" activePane="bottomLeft" state="frozen"/>
      <selection pane="bottomLeft" activeCell="F89" sqref="F89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Monadnock Regional School District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1273011</v>
      </c>
      <c r="D9" s="95">
        <f>'DOE25'!G9</f>
        <v>1055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685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723010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0</v>
      </c>
      <c r="D12" s="95">
        <f>'DOE25'!G12</f>
        <v>55409</v>
      </c>
      <c r="E12" s="95">
        <f>'DOE25'!H12</f>
        <v>255535</v>
      </c>
      <c r="F12" s="95">
        <f>'DOE25'!I12</f>
        <v>1998801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19322</v>
      </c>
      <c r="D13" s="95">
        <f>'DOE25'!G13</f>
        <v>23495</v>
      </c>
      <c r="E13" s="95">
        <f>'DOE25'!H13</f>
        <v>57964</v>
      </c>
      <c r="F13" s="95">
        <f>'DOE25'!I13</f>
        <v>0</v>
      </c>
      <c r="G13" s="95">
        <f>'DOE25'!J13</f>
        <v>1201907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2016028</v>
      </c>
      <c r="D19" s="41">
        <f>SUM(D9:D18)</f>
        <v>79959</v>
      </c>
      <c r="E19" s="41">
        <f>SUM(E9:E18)</f>
        <v>313499</v>
      </c>
      <c r="F19" s="41">
        <f>SUM(F9:F18)</f>
        <v>1998801</v>
      </c>
      <c r="G19" s="41">
        <f>SUM(G9:G18)</f>
        <v>1201907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986694</v>
      </c>
      <c r="D22" s="95">
        <f>'DOE25'!G23</f>
        <v>0</v>
      </c>
      <c r="E22" s="95">
        <f>'DOE25'!H23</f>
        <v>209165</v>
      </c>
      <c r="F22" s="95">
        <f>'DOE25'!I23</f>
        <v>942418</v>
      </c>
      <c r="G22" s="95">
        <f>'DOE25'!J23</f>
        <v>776930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42620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936910</v>
      </c>
      <c r="D24" s="95">
        <f>'DOE25'!G25</f>
        <v>18698</v>
      </c>
      <c r="E24" s="95">
        <f>'DOE25'!H25</f>
        <v>7544</v>
      </c>
      <c r="F24" s="95">
        <f>'DOE25'!I25</f>
        <v>16267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232949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1361</v>
      </c>
      <c r="D30" s="95">
        <f>'DOE25'!G31</f>
        <v>0</v>
      </c>
      <c r="E30" s="95">
        <f>'DOE25'!H31</f>
        <v>115670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339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2200873</v>
      </c>
      <c r="D32" s="41">
        <f>SUM(D22:D31)</f>
        <v>18698</v>
      </c>
      <c r="E32" s="41">
        <f>SUM(E22:E31)</f>
        <v>332379</v>
      </c>
      <c r="F32" s="41">
        <f>SUM(F22:F31)</f>
        <v>958685</v>
      </c>
      <c r="G32" s="41">
        <f>SUM(G22:G31)</f>
        <v>776930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61261</v>
      </c>
      <c r="E40" s="95">
        <f>'DOE25'!H41</f>
        <v>-18880</v>
      </c>
      <c r="F40" s="95">
        <f>'DOE25'!I41</f>
        <v>1040116</v>
      </c>
      <c r="G40" s="95">
        <f>'DOE25'!J41</f>
        <v>424977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-184845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-184845</v>
      </c>
      <c r="D42" s="41">
        <f>SUM(D34:D41)</f>
        <v>61261</v>
      </c>
      <c r="E42" s="41">
        <f>SUM(E34:E41)</f>
        <v>-18880</v>
      </c>
      <c r="F42" s="41">
        <f>SUM(F34:F41)</f>
        <v>1040116</v>
      </c>
      <c r="G42" s="41">
        <f>SUM(G34:G41)</f>
        <v>424977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2016028</v>
      </c>
      <c r="D43" s="41">
        <f>D42+D32</f>
        <v>79959</v>
      </c>
      <c r="E43" s="41">
        <f>E42+E32</f>
        <v>313499</v>
      </c>
      <c r="F43" s="41">
        <f>F42+F32</f>
        <v>1998801</v>
      </c>
      <c r="G43" s="41">
        <f>G42+G32</f>
        <v>1201907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17549124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175087</v>
      </c>
      <c r="D49" s="24" t="s">
        <v>312</v>
      </c>
      <c r="E49" s="95">
        <f>'DOE25'!H71</f>
        <v>34210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8472</v>
      </c>
      <c r="D51" s="95">
        <f>'DOE25'!G88</f>
        <v>109</v>
      </c>
      <c r="E51" s="95">
        <f>'DOE25'!H88</f>
        <v>0</v>
      </c>
      <c r="F51" s="95">
        <f>'DOE25'!I88</f>
        <v>0</v>
      </c>
      <c r="G51" s="95">
        <f>'DOE25'!J88</f>
        <v>6009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554861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-4557</v>
      </c>
      <c r="D53" s="95">
        <f>SUM('DOE25'!G90:G102)</f>
        <v>6214</v>
      </c>
      <c r="E53" s="95">
        <f>SUM('DOE25'!H90:H102)</f>
        <v>19661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179002</v>
      </c>
      <c r="D54" s="130">
        <f>SUM(D49:D53)</f>
        <v>561184</v>
      </c>
      <c r="E54" s="130">
        <f>SUM(E49:E53)</f>
        <v>53871</v>
      </c>
      <c r="F54" s="130">
        <f>SUM(F49:F53)</f>
        <v>0</v>
      </c>
      <c r="G54" s="130">
        <f>SUM(G49:G53)</f>
        <v>6009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17728126</v>
      </c>
      <c r="D55" s="22">
        <f>D48+D54</f>
        <v>561184</v>
      </c>
      <c r="E55" s="22">
        <f>E48+E54</f>
        <v>53871</v>
      </c>
      <c r="F55" s="22">
        <f>F48+F54</f>
        <v>0</v>
      </c>
      <c r="G55" s="22">
        <f>G48+G54</f>
        <v>6009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7801729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2760016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2993282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13555027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143930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593307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8561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737237</v>
      </c>
      <c r="D70" s="130">
        <f>SUM(D64:D69)</f>
        <v>8561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14292264</v>
      </c>
      <c r="D73" s="130">
        <f>SUM(D71:D72)+D70+D62</f>
        <v>8561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351599</v>
      </c>
      <c r="D80" s="95">
        <f>SUM('DOE25'!G145:G153)</f>
        <v>374816</v>
      </c>
      <c r="E80" s="95">
        <f>SUM('DOE25'!H145:H153)</f>
        <v>1222869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351599</v>
      </c>
      <c r="D83" s="131">
        <f>SUM(D77:D82)</f>
        <v>374816</v>
      </c>
      <c r="E83" s="131">
        <f>SUM(E77:E82)</f>
        <v>1222869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1174487</v>
      </c>
      <c r="G88" s="95">
        <f>'DOE25'!J171</f>
        <v>550000</v>
      </c>
    </row>
    <row r="89" spans="1:7" x14ac:dyDescent="0.2">
      <c r="A89" t="s">
        <v>790</v>
      </c>
      <c r="B89" s="32" t="s">
        <v>211</v>
      </c>
      <c r="C89" s="95">
        <f>SUM('DOE25'!F172:F173)</f>
        <v>20904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22555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43459</v>
      </c>
      <c r="D95" s="86">
        <f>SUM(D85:D94)</f>
        <v>0</v>
      </c>
      <c r="E95" s="86">
        <f>SUM(E85:E94)</f>
        <v>0</v>
      </c>
      <c r="F95" s="86">
        <f>SUM(F85:F94)</f>
        <v>1174487</v>
      </c>
      <c r="G95" s="86">
        <f>SUM(G85:G94)</f>
        <v>550000</v>
      </c>
    </row>
    <row r="96" spans="1:7" ht="12.75" thickTop="1" thickBot="1" x14ac:dyDescent="0.25">
      <c r="A96" s="33" t="s">
        <v>797</v>
      </c>
      <c r="C96" s="86">
        <f>C55+C73+C83+C95</f>
        <v>32415448</v>
      </c>
      <c r="D96" s="86">
        <f>D55+D73+D83+D95</f>
        <v>944561</v>
      </c>
      <c r="E96" s="86">
        <f>E55+E73+E83+E95</f>
        <v>1276740</v>
      </c>
      <c r="F96" s="86">
        <f>F55+F73+F83+F95</f>
        <v>1174487</v>
      </c>
      <c r="G96" s="86">
        <f>G55+G73+G95</f>
        <v>556009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11506151</v>
      </c>
      <c r="D101" s="24" t="s">
        <v>312</v>
      </c>
      <c r="E101" s="95">
        <f>('DOE25'!L268)+('DOE25'!L287)+('DOE25'!L306)</f>
        <v>749592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8501701</v>
      </c>
      <c r="D102" s="24" t="s">
        <v>312</v>
      </c>
      <c r="E102" s="95">
        <f>('DOE25'!L269)+('DOE25'!L288)+('DOE25'!L307)</f>
        <v>354595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49512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315571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20372935</v>
      </c>
      <c r="D107" s="86">
        <f>SUM(D101:D106)</f>
        <v>0</v>
      </c>
      <c r="E107" s="86">
        <f>SUM(E101:E106)</f>
        <v>1104187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2006003</v>
      </c>
      <c r="D110" s="24" t="s">
        <v>312</v>
      </c>
      <c r="E110" s="95">
        <f>+('DOE25'!L273)+('DOE25'!L292)+('DOE25'!L311)</f>
        <v>6033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622693</v>
      </c>
      <c r="D111" s="24" t="s">
        <v>312</v>
      </c>
      <c r="E111" s="95">
        <f>+('DOE25'!L274)+('DOE25'!L293)+('DOE25'!L312)</f>
        <v>157936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1530387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1843128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280642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2976664</v>
      </c>
      <c r="D115" s="24" t="s">
        <v>312</v>
      </c>
      <c r="E115" s="95">
        <f>+('DOE25'!L278)+('DOE25'!L297)+('DOE25'!L316)</f>
        <v>5936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2141399</v>
      </c>
      <c r="D116" s="24" t="s">
        <v>312</v>
      </c>
      <c r="E116" s="95">
        <f>+('DOE25'!L279)+('DOE25'!L298)+('DOE25'!L317)</f>
        <v>625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425224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927456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11826140</v>
      </c>
      <c r="D120" s="86">
        <f>SUM(D110:D119)</f>
        <v>927456</v>
      </c>
      <c r="E120" s="86">
        <f>SUM(E110:E119)</f>
        <v>170530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476676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20903</v>
      </c>
      <c r="F126" s="95">
        <f>'DOE25'!K373</f>
        <v>0</v>
      </c>
      <c r="G126" s="95">
        <f>'DOE25'!K426</f>
        <v>22555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1174487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505363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50646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-6009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1724487</v>
      </c>
      <c r="D136" s="141">
        <f>SUM(D122:D135)</f>
        <v>0</v>
      </c>
      <c r="E136" s="141">
        <f>SUM(E122:E135)</f>
        <v>20903</v>
      </c>
      <c r="F136" s="141">
        <f>SUM(F122:F135)</f>
        <v>476676</v>
      </c>
      <c r="G136" s="141">
        <f>SUM(G122:G135)</f>
        <v>22555</v>
      </c>
    </row>
    <row r="137" spans="1:9" ht="12.75" thickTop="1" thickBot="1" x14ac:dyDescent="0.25">
      <c r="A137" s="33" t="s">
        <v>267</v>
      </c>
      <c r="C137" s="86">
        <f>(C107+C120+C136)</f>
        <v>33923562</v>
      </c>
      <c r="D137" s="86">
        <f>(D107+D120+D136)</f>
        <v>927456</v>
      </c>
      <c r="E137" s="86">
        <f>(E107+E120+E136)</f>
        <v>1295620</v>
      </c>
      <c r="F137" s="86">
        <f>(F107+F120+F136)</f>
        <v>476676</v>
      </c>
      <c r="G137" s="86">
        <f>(G107+G120+G136)</f>
        <v>22555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A5888-8D41-45D8-A1D9-C7D63AF6ABEB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Monadnock Regional School District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16408</v>
      </c>
    </row>
    <row r="5" spans="1:4" x14ac:dyDescent="0.2">
      <c r="B5" t="s">
        <v>735</v>
      </c>
      <c r="C5" s="179">
        <f>IF('DOE25'!G655+'DOE25'!G660=0,0,ROUND('DOE25'!G662,0))</f>
        <v>13989</v>
      </c>
    </row>
    <row r="6" spans="1:4" x14ac:dyDescent="0.2">
      <c r="B6" t="s">
        <v>62</v>
      </c>
      <c r="C6" s="179">
        <f>IF('DOE25'!H655+'DOE25'!H660=0,0,ROUND('DOE25'!H662,0))</f>
        <v>16100</v>
      </c>
    </row>
    <row r="7" spans="1:4" x14ac:dyDescent="0.2">
      <c r="B7" t="s">
        <v>736</v>
      </c>
      <c r="C7" s="179">
        <f>IF('DOE25'!I655+'DOE25'!I660=0,0,ROUND('DOE25'!I662,0))</f>
        <v>15908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12255743</v>
      </c>
      <c r="D10" s="182">
        <f>ROUND((C10/$C$28)*100,1)</f>
        <v>36.200000000000003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8856296</v>
      </c>
      <c r="D11" s="182">
        <f>ROUND((C11/$C$28)*100,1)</f>
        <v>26.2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49512</v>
      </c>
      <c r="D12" s="182">
        <f>ROUND((C12/$C$28)*100,1)</f>
        <v>0.1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315571</v>
      </c>
      <c r="D13" s="182">
        <f>ROUND((C13/$C$28)*100,1)</f>
        <v>0.9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2012036</v>
      </c>
      <c r="D15" s="182">
        <f t="shared" ref="D15:D27" si="0">ROUND((C15/$C$28)*100,1)</f>
        <v>5.9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780629</v>
      </c>
      <c r="D16" s="182">
        <f t="shared" si="0"/>
        <v>2.2999999999999998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1955611</v>
      </c>
      <c r="D17" s="182">
        <f t="shared" si="0"/>
        <v>5.8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1843128</v>
      </c>
      <c r="D18" s="182">
        <f t="shared" si="0"/>
        <v>5.4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280642</v>
      </c>
      <c r="D19" s="182">
        <f t="shared" si="0"/>
        <v>0.8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2982600</v>
      </c>
      <c r="D20" s="182">
        <f t="shared" si="0"/>
        <v>8.8000000000000007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2142024</v>
      </c>
      <c r="D21" s="182">
        <f t="shared" si="0"/>
        <v>6.3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0</v>
      </c>
      <c r="D25" s="182">
        <f t="shared" si="0"/>
        <v>0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366381</v>
      </c>
      <c r="D27" s="182">
        <f t="shared" si="0"/>
        <v>1.1000000000000001</v>
      </c>
    </row>
    <row r="28" spans="1:4" x14ac:dyDescent="0.2">
      <c r="B28" s="187" t="s">
        <v>754</v>
      </c>
      <c r="C28" s="180">
        <f>SUM(C10:C27)</f>
        <v>33840173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476676</v>
      </c>
    </row>
    <row r="30" spans="1:4" x14ac:dyDescent="0.2">
      <c r="B30" s="187" t="s">
        <v>760</v>
      </c>
      <c r="C30" s="180">
        <f>SUM(C28:C29)</f>
        <v>34316849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17549124</v>
      </c>
      <c r="D35" s="182">
        <f t="shared" ref="D35:D40" si="1">ROUND((C35/$C$41)*100,1)</f>
        <v>51.6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238991</v>
      </c>
      <c r="D36" s="182">
        <f t="shared" si="1"/>
        <v>0.7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10561745</v>
      </c>
      <c r="D37" s="182">
        <f t="shared" si="1"/>
        <v>31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3739080</v>
      </c>
      <c r="D38" s="182">
        <f t="shared" si="1"/>
        <v>11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1949284</v>
      </c>
      <c r="D39" s="182">
        <f t="shared" si="1"/>
        <v>5.7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34038224</v>
      </c>
      <c r="D41" s="184">
        <f>SUM(D35:D40)</f>
        <v>100.00000000000001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3DFE7-BE68-477E-8AAC-E8152E3472D7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Monadnock Regional School District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7"/>
      <c r="Q29" s="297"/>
      <c r="R29" s="297"/>
      <c r="S29" s="297"/>
      <c r="T29" s="297"/>
      <c r="U29" s="297"/>
      <c r="V29" s="297"/>
      <c r="W29" s="297"/>
      <c r="X29" s="297"/>
      <c r="Y29" s="297"/>
      <c r="Z29" s="297"/>
      <c r="AA29" s="208"/>
      <c r="AB29" s="208"/>
      <c r="AC29" s="294"/>
      <c r="AD29" s="294"/>
      <c r="AE29" s="294"/>
      <c r="AF29" s="294"/>
      <c r="AG29" s="294"/>
      <c r="AH29" s="294"/>
      <c r="AI29" s="294"/>
      <c r="AJ29" s="294"/>
      <c r="AK29" s="294"/>
      <c r="AL29" s="294"/>
      <c r="AM29" s="294"/>
      <c r="AN29" s="208"/>
      <c r="AO29" s="208"/>
      <c r="AP29" s="294"/>
      <c r="AQ29" s="294"/>
      <c r="AR29" s="294"/>
      <c r="AS29" s="294"/>
      <c r="AT29" s="294"/>
      <c r="AU29" s="294"/>
      <c r="AV29" s="294"/>
      <c r="AW29" s="294"/>
      <c r="AX29" s="294"/>
      <c r="AY29" s="294"/>
      <c r="AZ29" s="294"/>
      <c r="BA29" s="208"/>
      <c r="BB29" s="208"/>
      <c r="BC29" s="294"/>
      <c r="BD29" s="294"/>
      <c r="BE29" s="294"/>
      <c r="BF29" s="294"/>
      <c r="BG29" s="294"/>
      <c r="BH29" s="294"/>
      <c r="BI29" s="294"/>
      <c r="BJ29" s="294"/>
      <c r="BK29" s="294"/>
      <c r="BL29" s="294"/>
      <c r="BM29" s="294"/>
      <c r="BN29" s="208"/>
      <c r="BO29" s="208"/>
      <c r="BP29" s="294"/>
      <c r="BQ29" s="294"/>
      <c r="BR29" s="294"/>
      <c r="BS29" s="294"/>
      <c r="BT29" s="294"/>
      <c r="BU29" s="294"/>
      <c r="BV29" s="294"/>
      <c r="BW29" s="294"/>
      <c r="BX29" s="294"/>
      <c r="BY29" s="294"/>
      <c r="BZ29" s="294"/>
      <c r="CA29" s="208"/>
      <c r="CB29" s="208"/>
      <c r="CC29" s="294"/>
      <c r="CD29" s="294"/>
      <c r="CE29" s="294"/>
      <c r="CF29" s="294"/>
      <c r="CG29" s="294"/>
      <c r="CH29" s="294"/>
      <c r="CI29" s="294"/>
      <c r="CJ29" s="294"/>
      <c r="CK29" s="294"/>
      <c r="CL29" s="294"/>
      <c r="CM29" s="294"/>
      <c r="CN29" s="208"/>
      <c r="CO29" s="208"/>
      <c r="CP29" s="294"/>
      <c r="CQ29" s="294"/>
      <c r="CR29" s="294"/>
      <c r="CS29" s="294"/>
      <c r="CT29" s="294"/>
      <c r="CU29" s="294"/>
      <c r="CV29" s="294"/>
      <c r="CW29" s="294"/>
      <c r="CX29" s="294"/>
      <c r="CY29" s="294"/>
      <c r="CZ29" s="294"/>
      <c r="DA29" s="208"/>
      <c r="DB29" s="208"/>
      <c r="DC29" s="294"/>
      <c r="DD29" s="294"/>
      <c r="DE29" s="294"/>
      <c r="DF29" s="294"/>
      <c r="DG29" s="294"/>
      <c r="DH29" s="294"/>
      <c r="DI29" s="294"/>
      <c r="DJ29" s="294"/>
      <c r="DK29" s="294"/>
      <c r="DL29" s="294"/>
      <c r="DM29" s="294"/>
      <c r="DN29" s="208"/>
      <c r="DO29" s="208"/>
      <c r="DP29" s="294"/>
      <c r="DQ29" s="294"/>
      <c r="DR29" s="294"/>
      <c r="DS29" s="294"/>
      <c r="DT29" s="294"/>
      <c r="DU29" s="294"/>
      <c r="DV29" s="294"/>
      <c r="DW29" s="294"/>
      <c r="DX29" s="294"/>
      <c r="DY29" s="294"/>
      <c r="DZ29" s="294"/>
      <c r="EA29" s="208"/>
      <c r="EB29" s="208"/>
      <c r="EC29" s="294"/>
      <c r="ED29" s="294"/>
      <c r="EE29" s="294"/>
      <c r="EF29" s="294"/>
      <c r="EG29" s="294"/>
      <c r="EH29" s="294"/>
      <c r="EI29" s="294"/>
      <c r="EJ29" s="294"/>
      <c r="EK29" s="294"/>
      <c r="EL29" s="294"/>
      <c r="EM29" s="294"/>
      <c r="EN29" s="208"/>
      <c r="EO29" s="208"/>
      <c r="EP29" s="294"/>
      <c r="EQ29" s="294"/>
      <c r="ER29" s="294"/>
      <c r="ES29" s="294"/>
      <c r="ET29" s="294"/>
      <c r="EU29" s="294"/>
      <c r="EV29" s="294"/>
      <c r="EW29" s="294"/>
      <c r="EX29" s="294"/>
      <c r="EY29" s="294"/>
      <c r="EZ29" s="294"/>
      <c r="FA29" s="208"/>
      <c r="FB29" s="208"/>
      <c r="FC29" s="294"/>
      <c r="FD29" s="294"/>
      <c r="FE29" s="294"/>
      <c r="FF29" s="294"/>
      <c r="FG29" s="294"/>
      <c r="FH29" s="294"/>
      <c r="FI29" s="294"/>
      <c r="FJ29" s="294"/>
      <c r="FK29" s="294"/>
      <c r="FL29" s="294"/>
      <c r="FM29" s="294"/>
      <c r="FN29" s="208"/>
      <c r="FO29" s="208"/>
      <c r="FP29" s="294"/>
      <c r="FQ29" s="294"/>
      <c r="FR29" s="294"/>
      <c r="FS29" s="294"/>
      <c r="FT29" s="294"/>
      <c r="FU29" s="294"/>
      <c r="FV29" s="294"/>
      <c r="FW29" s="294"/>
      <c r="FX29" s="294"/>
      <c r="FY29" s="294"/>
      <c r="FZ29" s="294"/>
      <c r="GA29" s="208"/>
      <c r="GB29" s="208"/>
      <c r="GC29" s="294"/>
      <c r="GD29" s="294"/>
      <c r="GE29" s="294"/>
      <c r="GF29" s="294"/>
      <c r="GG29" s="294"/>
      <c r="GH29" s="294"/>
      <c r="GI29" s="294"/>
      <c r="GJ29" s="294"/>
      <c r="GK29" s="294"/>
      <c r="GL29" s="294"/>
      <c r="GM29" s="294"/>
      <c r="GN29" s="208"/>
      <c r="GO29" s="208"/>
      <c r="GP29" s="294"/>
      <c r="GQ29" s="294"/>
      <c r="GR29" s="294"/>
      <c r="GS29" s="294"/>
      <c r="GT29" s="294"/>
      <c r="GU29" s="294"/>
      <c r="GV29" s="294"/>
      <c r="GW29" s="294"/>
      <c r="GX29" s="294"/>
      <c r="GY29" s="294"/>
      <c r="GZ29" s="294"/>
      <c r="HA29" s="208"/>
      <c r="HB29" s="208"/>
      <c r="HC29" s="294"/>
      <c r="HD29" s="294"/>
      <c r="HE29" s="294"/>
      <c r="HF29" s="294"/>
      <c r="HG29" s="294"/>
      <c r="HH29" s="294"/>
      <c r="HI29" s="294"/>
      <c r="HJ29" s="294"/>
      <c r="HK29" s="294"/>
      <c r="HL29" s="294"/>
      <c r="HM29" s="294"/>
      <c r="HN29" s="208"/>
      <c r="HO29" s="208"/>
      <c r="HP29" s="294"/>
      <c r="HQ29" s="294"/>
      <c r="HR29" s="294"/>
      <c r="HS29" s="294"/>
      <c r="HT29" s="294"/>
      <c r="HU29" s="294"/>
      <c r="HV29" s="294"/>
      <c r="HW29" s="294"/>
      <c r="HX29" s="294"/>
      <c r="HY29" s="294"/>
      <c r="HZ29" s="294"/>
      <c r="IA29" s="208"/>
      <c r="IB29" s="208"/>
      <c r="IC29" s="294"/>
      <c r="ID29" s="294"/>
      <c r="IE29" s="294"/>
      <c r="IF29" s="294"/>
      <c r="IG29" s="294"/>
      <c r="IH29" s="294"/>
      <c r="II29" s="294"/>
      <c r="IJ29" s="294"/>
      <c r="IK29" s="294"/>
      <c r="IL29" s="294"/>
      <c r="IM29" s="294"/>
      <c r="IN29" s="208"/>
      <c r="IO29" s="208"/>
      <c r="IP29" s="294"/>
      <c r="IQ29" s="294"/>
      <c r="IR29" s="294"/>
      <c r="IS29" s="294"/>
      <c r="IT29" s="294"/>
      <c r="IU29" s="294"/>
      <c r="IV29" s="294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7"/>
      <c r="Q30" s="297"/>
      <c r="R30" s="297"/>
      <c r="S30" s="297"/>
      <c r="T30" s="297"/>
      <c r="U30" s="297"/>
      <c r="V30" s="297"/>
      <c r="W30" s="297"/>
      <c r="X30" s="297"/>
      <c r="Y30" s="297"/>
      <c r="Z30" s="297"/>
      <c r="AA30" s="208"/>
      <c r="AB30" s="208"/>
      <c r="AC30" s="294"/>
      <c r="AD30" s="294"/>
      <c r="AE30" s="294"/>
      <c r="AF30" s="294"/>
      <c r="AG30" s="294"/>
      <c r="AH30" s="294"/>
      <c r="AI30" s="294"/>
      <c r="AJ30" s="294"/>
      <c r="AK30" s="294"/>
      <c r="AL30" s="294"/>
      <c r="AM30" s="294"/>
      <c r="AN30" s="208"/>
      <c r="AO30" s="208"/>
      <c r="AP30" s="294"/>
      <c r="AQ30" s="294"/>
      <c r="AR30" s="294"/>
      <c r="AS30" s="294"/>
      <c r="AT30" s="294"/>
      <c r="AU30" s="294"/>
      <c r="AV30" s="294"/>
      <c r="AW30" s="294"/>
      <c r="AX30" s="294"/>
      <c r="AY30" s="294"/>
      <c r="AZ30" s="294"/>
      <c r="BA30" s="208"/>
      <c r="BB30" s="208"/>
      <c r="BC30" s="294"/>
      <c r="BD30" s="294"/>
      <c r="BE30" s="294"/>
      <c r="BF30" s="294"/>
      <c r="BG30" s="294"/>
      <c r="BH30" s="294"/>
      <c r="BI30" s="294"/>
      <c r="BJ30" s="294"/>
      <c r="BK30" s="294"/>
      <c r="BL30" s="294"/>
      <c r="BM30" s="294"/>
      <c r="BN30" s="208"/>
      <c r="BO30" s="208"/>
      <c r="BP30" s="294"/>
      <c r="BQ30" s="294"/>
      <c r="BR30" s="294"/>
      <c r="BS30" s="294"/>
      <c r="BT30" s="294"/>
      <c r="BU30" s="294"/>
      <c r="BV30" s="294"/>
      <c r="BW30" s="294"/>
      <c r="BX30" s="294"/>
      <c r="BY30" s="294"/>
      <c r="BZ30" s="294"/>
      <c r="CA30" s="208"/>
      <c r="CB30" s="208"/>
      <c r="CC30" s="294"/>
      <c r="CD30" s="294"/>
      <c r="CE30" s="294"/>
      <c r="CF30" s="294"/>
      <c r="CG30" s="294"/>
      <c r="CH30" s="294"/>
      <c r="CI30" s="294"/>
      <c r="CJ30" s="294"/>
      <c r="CK30" s="294"/>
      <c r="CL30" s="294"/>
      <c r="CM30" s="294"/>
      <c r="CN30" s="208"/>
      <c r="CO30" s="208"/>
      <c r="CP30" s="294"/>
      <c r="CQ30" s="294"/>
      <c r="CR30" s="294"/>
      <c r="CS30" s="294"/>
      <c r="CT30" s="294"/>
      <c r="CU30" s="294"/>
      <c r="CV30" s="294"/>
      <c r="CW30" s="294"/>
      <c r="CX30" s="294"/>
      <c r="CY30" s="294"/>
      <c r="CZ30" s="294"/>
      <c r="DA30" s="208"/>
      <c r="DB30" s="208"/>
      <c r="DC30" s="294"/>
      <c r="DD30" s="294"/>
      <c r="DE30" s="294"/>
      <c r="DF30" s="294"/>
      <c r="DG30" s="294"/>
      <c r="DH30" s="294"/>
      <c r="DI30" s="294"/>
      <c r="DJ30" s="294"/>
      <c r="DK30" s="294"/>
      <c r="DL30" s="294"/>
      <c r="DM30" s="294"/>
      <c r="DN30" s="208"/>
      <c r="DO30" s="208"/>
      <c r="DP30" s="294"/>
      <c r="DQ30" s="294"/>
      <c r="DR30" s="294"/>
      <c r="DS30" s="294"/>
      <c r="DT30" s="294"/>
      <c r="DU30" s="294"/>
      <c r="DV30" s="294"/>
      <c r="DW30" s="294"/>
      <c r="DX30" s="294"/>
      <c r="DY30" s="294"/>
      <c r="DZ30" s="294"/>
      <c r="EA30" s="208"/>
      <c r="EB30" s="208"/>
      <c r="EC30" s="294"/>
      <c r="ED30" s="294"/>
      <c r="EE30" s="294"/>
      <c r="EF30" s="294"/>
      <c r="EG30" s="294"/>
      <c r="EH30" s="294"/>
      <c r="EI30" s="294"/>
      <c r="EJ30" s="294"/>
      <c r="EK30" s="294"/>
      <c r="EL30" s="294"/>
      <c r="EM30" s="294"/>
      <c r="EN30" s="208"/>
      <c r="EO30" s="208"/>
      <c r="EP30" s="294"/>
      <c r="EQ30" s="294"/>
      <c r="ER30" s="294"/>
      <c r="ES30" s="294"/>
      <c r="ET30" s="294"/>
      <c r="EU30" s="294"/>
      <c r="EV30" s="294"/>
      <c r="EW30" s="294"/>
      <c r="EX30" s="294"/>
      <c r="EY30" s="294"/>
      <c r="EZ30" s="294"/>
      <c r="FA30" s="208"/>
      <c r="FB30" s="208"/>
      <c r="FC30" s="294"/>
      <c r="FD30" s="294"/>
      <c r="FE30" s="294"/>
      <c r="FF30" s="294"/>
      <c r="FG30" s="294"/>
      <c r="FH30" s="294"/>
      <c r="FI30" s="294"/>
      <c r="FJ30" s="294"/>
      <c r="FK30" s="294"/>
      <c r="FL30" s="294"/>
      <c r="FM30" s="294"/>
      <c r="FN30" s="208"/>
      <c r="FO30" s="208"/>
      <c r="FP30" s="294"/>
      <c r="FQ30" s="294"/>
      <c r="FR30" s="294"/>
      <c r="FS30" s="294"/>
      <c r="FT30" s="294"/>
      <c r="FU30" s="294"/>
      <c r="FV30" s="294"/>
      <c r="FW30" s="294"/>
      <c r="FX30" s="294"/>
      <c r="FY30" s="294"/>
      <c r="FZ30" s="294"/>
      <c r="GA30" s="208"/>
      <c r="GB30" s="208"/>
      <c r="GC30" s="294"/>
      <c r="GD30" s="294"/>
      <c r="GE30" s="294"/>
      <c r="GF30" s="294"/>
      <c r="GG30" s="294"/>
      <c r="GH30" s="294"/>
      <c r="GI30" s="294"/>
      <c r="GJ30" s="294"/>
      <c r="GK30" s="294"/>
      <c r="GL30" s="294"/>
      <c r="GM30" s="294"/>
      <c r="GN30" s="208"/>
      <c r="GO30" s="208"/>
      <c r="GP30" s="294"/>
      <c r="GQ30" s="294"/>
      <c r="GR30" s="294"/>
      <c r="GS30" s="294"/>
      <c r="GT30" s="294"/>
      <c r="GU30" s="294"/>
      <c r="GV30" s="294"/>
      <c r="GW30" s="294"/>
      <c r="GX30" s="294"/>
      <c r="GY30" s="294"/>
      <c r="GZ30" s="294"/>
      <c r="HA30" s="208"/>
      <c r="HB30" s="208"/>
      <c r="HC30" s="294"/>
      <c r="HD30" s="294"/>
      <c r="HE30" s="294"/>
      <c r="HF30" s="294"/>
      <c r="HG30" s="294"/>
      <c r="HH30" s="294"/>
      <c r="HI30" s="294"/>
      <c r="HJ30" s="294"/>
      <c r="HK30" s="294"/>
      <c r="HL30" s="294"/>
      <c r="HM30" s="294"/>
      <c r="HN30" s="208"/>
      <c r="HO30" s="208"/>
      <c r="HP30" s="294"/>
      <c r="HQ30" s="294"/>
      <c r="HR30" s="294"/>
      <c r="HS30" s="294"/>
      <c r="HT30" s="294"/>
      <c r="HU30" s="294"/>
      <c r="HV30" s="294"/>
      <c r="HW30" s="294"/>
      <c r="HX30" s="294"/>
      <c r="HY30" s="294"/>
      <c r="HZ30" s="294"/>
      <c r="IA30" s="208"/>
      <c r="IB30" s="208"/>
      <c r="IC30" s="294"/>
      <c r="ID30" s="294"/>
      <c r="IE30" s="294"/>
      <c r="IF30" s="294"/>
      <c r="IG30" s="294"/>
      <c r="IH30" s="294"/>
      <c r="II30" s="294"/>
      <c r="IJ30" s="294"/>
      <c r="IK30" s="294"/>
      <c r="IL30" s="294"/>
      <c r="IM30" s="294"/>
      <c r="IN30" s="208"/>
      <c r="IO30" s="208"/>
      <c r="IP30" s="294"/>
      <c r="IQ30" s="294"/>
      <c r="IR30" s="294"/>
      <c r="IS30" s="294"/>
      <c r="IT30" s="294"/>
      <c r="IU30" s="294"/>
      <c r="IV30" s="294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7"/>
      <c r="Q31" s="297"/>
      <c r="R31" s="297"/>
      <c r="S31" s="297"/>
      <c r="T31" s="297"/>
      <c r="U31" s="297"/>
      <c r="V31" s="297"/>
      <c r="W31" s="297"/>
      <c r="X31" s="297"/>
      <c r="Y31" s="297"/>
      <c r="Z31" s="297"/>
      <c r="AA31" s="208"/>
      <c r="AB31" s="208"/>
      <c r="AC31" s="294"/>
      <c r="AD31" s="294"/>
      <c r="AE31" s="294"/>
      <c r="AF31" s="294"/>
      <c r="AG31" s="294"/>
      <c r="AH31" s="294"/>
      <c r="AI31" s="294"/>
      <c r="AJ31" s="294"/>
      <c r="AK31" s="294"/>
      <c r="AL31" s="294"/>
      <c r="AM31" s="294"/>
      <c r="AN31" s="208"/>
      <c r="AO31" s="208"/>
      <c r="AP31" s="294"/>
      <c r="AQ31" s="294"/>
      <c r="AR31" s="294"/>
      <c r="AS31" s="294"/>
      <c r="AT31" s="294"/>
      <c r="AU31" s="294"/>
      <c r="AV31" s="294"/>
      <c r="AW31" s="294"/>
      <c r="AX31" s="294"/>
      <c r="AY31" s="294"/>
      <c r="AZ31" s="294"/>
      <c r="BA31" s="208"/>
      <c r="BB31" s="208"/>
      <c r="BC31" s="294"/>
      <c r="BD31" s="294"/>
      <c r="BE31" s="294"/>
      <c r="BF31" s="294"/>
      <c r="BG31" s="294"/>
      <c r="BH31" s="294"/>
      <c r="BI31" s="294"/>
      <c r="BJ31" s="294"/>
      <c r="BK31" s="294"/>
      <c r="BL31" s="294"/>
      <c r="BM31" s="294"/>
      <c r="BN31" s="208"/>
      <c r="BO31" s="208"/>
      <c r="BP31" s="294"/>
      <c r="BQ31" s="294"/>
      <c r="BR31" s="294"/>
      <c r="BS31" s="294"/>
      <c r="BT31" s="294"/>
      <c r="BU31" s="294"/>
      <c r="BV31" s="294"/>
      <c r="BW31" s="294"/>
      <c r="BX31" s="294"/>
      <c r="BY31" s="294"/>
      <c r="BZ31" s="294"/>
      <c r="CA31" s="208"/>
      <c r="CB31" s="208"/>
      <c r="CC31" s="294"/>
      <c r="CD31" s="294"/>
      <c r="CE31" s="294"/>
      <c r="CF31" s="294"/>
      <c r="CG31" s="294"/>
      <c r="CH31" s="294"/>
      <c r="CI31" s="294"/>
      <c r="CJ31" s="294"/>
      <c r="CK31" s="294"/>
      <c r="CL31" s="294"/>
      <c r="CM31" s="294"/>
      <c r="CN31" s="208"/>
      <c r="CO31" s="208"/>
      <c r="CP31" s="294"/>
      <c r="CQ31" s="294"/>
      <c r="CR31" s="294"/>
      <c r="CS31" s="294"/>
      <c r="CT31" s="294"/>
      <c r="CU31" s="294"/>
      <c r="CV31" s="294"/>
      <c r="CW31" s="294"/>
      <c r="CX31" s="294"/>
      <c r="CY31" s="294"/>
      <c r="CZ31" s="294"/>
      <c r="DA31" s="208"/>
      <c r="DB31" s="208"/>
      <c r="DC31" s="294"/>
      <c r="DD31" s="294"/>
      <c r="DE31" s="294"/>
      <c r="DF31" s="294"/>
      <c r="DG31" s="294"/>
      <c r="DH31" s="294"/>
      <c r="DI31" s="294"/>
      <c r="DJ31" s="294"/>
      <c r="DK31" s="294"/>
      <c r="DL31" s="294"/>
      <c r="DM31" s="294"/>
      <c r="DN31" s="208"/>
      <c r="DO31" s="208"/>
      <c r="DP31" s="294"/>
      <c r="DQ31" s="294"/>
      <c r="DR31" s="294"/>
      <c r="DS31" s="294"/>
      <c r="DT31" s="294"/>
      <c r="DU31" s="294"/>
      <c r="DV31" s="294"/>
      <c r="DW31" s="294"/>
      <c r="DX31" s="294"/>
      <c r="DY31" s="294"/>
      <c r="DZ31" s="294"/>
      <c r="EA31" s="208"/>
      <c r="EB31" s="208"/>
      <c r="EC31" s="294"/>
      <c r="ED31" s="294"/>
      <c r="EE31" s="294"/>
      <c r="EF31" s="294"/>
      <c r="EG31" s="294"/>
      <c r="EH31" s="294"/>
      <c r="EI31" s="294"/>
      <c r="EJ31" s="294"/>
      <c r="EK31" s="294"/>
      <c r="EL31" s="294"/>
      <c r="EM31" s="294"/>
      <c r="EN31" s="208"/>
      <c r="EO31" s="208"/>
      <c r="EP31" s="294"/>
      <c r="EQ31" s="294"/>
      <c r="ER31" s="294"/>
      <c r="ES31" s="294"/>
      <c r="ET31" s="294"/>
      <c r="EU31" s="294"/>
      <c r="EV31" s="294"/>
      <c r="EW31" s="294"/>
      <c r="EX31" s="294"/>
      <c r="EY31" s="294"/>
      <c r="EZ31" s="294"/>
      <c r="FA31" s="208"/>
      <c r="FB31" s="208"/>
      <c r="FC31" s="294"/>
      <c r="FD31" s="294"/>
      <c r="FE31" s="294"/>
      <c r="FF31" s="294"/>
      <c r="FG31" s="294"/>
      <c r="FH31" s="294"/>
      <c r="FI31" s="294"/>
      <c r="FJ31" s="294"/>
      <c r="FK31" s="294"/>
      <c r="FL31" s="294"/>
      <c r="FM31" s="294"/>
      <c r="FN31" s="208"/>
      <c r="FO31" s="208"/>
      <c r="FP31" s="294"/>
      <c r="FQ31" s="294"/>
      <c r="FR31" s="294"/>
      <c r="FS31" s="294"/>
      <c r="FT31" s="294"/>
      <c r="FU31" s="294"/>
      <c r="FV31" s="294"/>
      <c r="FW31" s="294"/>
      <c r="FX31" s="294"/>
      <c r="FY31" s="294"/>
      <c r="FZ31" s="294"/>
      <c r="GA31" s="208"/>
      <c r="GB31" s="208"/>
      <c r="GC31" s="294"/>
      <c r="GD31" s="294"/>
      <c r="GE31" s="294"/>
      <c r="GF31" s="294"/>
      <c r="GG31" s="294"/>
      <c r="GH31" s="294"/>
      <c r="GI31" s="294"/>
      <c r="GJ31" s="294"/>
      <c r="GK31" s="294"/>
      <c r="GL31" s="294"/>
      <c r="GM31" s="294"/>
      <c r="GN31" s="208"/>
      <c r="GO31" s="208"/>
      <c r="GP31" s="294"/>
      <c r="GQ31" s="294"/>
      <c r="GR31" s="294"/>
      <c r="GS31" s="294"/>
      <c r="GT31" s="294"/>
      <c r="GU31" s="294"/>
      <c r="GV31" s="294"/>
      <c r="GW31" s="294"/>
      <c r="GX31" s="294"/>
      <c r="GY31" s="294"/>
      <c r="GZ31" s="294"/>
      <c r="HA31" s="208"/>
      <c r="HB31" s="208"/>
      <c r="HC31" s="294"/>
      <c r="HD31" s="294"/>
      <c r="HE31" s="294"/>
      <c r="HF31" s="294"/>
      <c r="HG31" s="294"/>
      <c r="HH31" s="294"/>
      <c r="HI31" s="294"/>
      <c r="HJ31" s="294"/>
      <c r="HK31" s="294"/>
      <c r="HL31" s="294"/>
      <c r="HM31" s="294"/>
      <c r="HN31" s="208"/>
      <c r="HO31" s="208"/>
      <c r="HP31" s="294"/>
      <c r="HQ31" s="294"/>
      <c r="HR31" s="294"/>
      <c r="HS31" s="294"/>
      <c r="HT31" s="294"/>
      <c r="HU31" s="294"/>
      <c r="HV31" s="294"/>
      <c r="HW31" s="294"/>
      <c r="HX31" s="294"/>
      <c r="HY31" s="294"/>
      <c r="HZ31" s="294"/>
      <c r="IA31" s="208"/>
      <c r="IB31" s="208"/>
      <c r="IC31" s="294"/>
      <c r="ID31" s="294"/>
      <c r="IE31" s="294"/>
      <c r="IF31" s="294"/>
      <c r="IG31" s="294"/>
      <c r="IH31" s="294"/>
      <c r="II31" s="294"/>
      <c r="IJ31" s="294"/>
      <c r="IK31" s="294"/>
      <c r="IL31" s="294"/>
      <c r="IM31" s="294"/>
      <c r="IN31" s="208"/>
      <c r="IO31" s="208"/>
      <c r="IP31" s="294"/>
      <c r="IQ31" s="294"/>
      <c r="IR31" s="294"/>
      <c r="IS31" s="294"/>
      <c r="IT31" s="294"/>
      <c r="IU31" s="294"/>
      <c r="IV31" s="294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7"/>
      <c r="Q38" s="297"/>
      <c r="R38" s="297"/>
      <c r="S38" s="297"/>
      <c r="T38" s="297"/>
      <c r="U38" s="297"/>
      <c r="V38" s="297"/>
      <c r="W38" s="297"/>
      <c r="X38" s="297"/>
      <c r="Y38" s="297"/>
      <c r="Z38" s="297"/>
      <c r="AA38" s="208"/>
      <c r="AB38" s="208"/>
      <c r="AC38" s="294"/>
      <c r="AD38" s="294"/>
      <c r="AE38" s="294"/>
      <c r="AF38" s="294"/>
      <c r="AG38" s="294"/>
      <c r="AH38" s="294"/>
      <c r="AI38" s="294"/>
      <c r="AJ38" s="294"/>
      <c r="AK38" s="294"/>
      <c r="AL38" s="294"/>
      <c r="AM38" s="294"/>
      <c r="AN38" s="208"/>
      <c r="AO38" s="208"/>
      <c r="AP38" s="294"/>
      <c r="AQ38" s="294"/>
      <c r="AR38" s="294"/>
      <c r="AS38" s="294"/>
      <c r="AT38" s="294"/>
      <c r="AU38" s="294"/>
      <c r="AV38" s="294"/>
      <c r="AW38" s="294"/>
      <c r="AX38" s="294"/>
      <c r="AY38" s="294"/>
      <c r="AZ38" s="294"/>
      <c r="BA38" s="208"/>
      <c r="BB38" s="208"/>
      <c r="BC38" s="294"/>
      <c r="BD38" s="294"/>
      <c r="BE38" s="294"/>
      <c r="BF38" s="294"/>
      <c r="BG38" s="294"/>
      <c r="BH38" s="294"/>
      <c r="BI38" s="294"/>
      <c r="BJ38" s="294"/>
      <c r="BK38" s="294"/>
      <c r="BL38" s="294"/>
      <c r="BM38" s="294"/>
      <c r="BN38" s="208"/>
      <c r="BO38" s="208"/>
      <c r="BP38" s="294"/>
      <c r="BQ38" s="294"/>
      <c r="BR38" s="294"/>
      <c r="BS38" s="294"/>
      <c r="BT38" s="294"/>
      <c r="BU38" s="294"/>
      <c r="BV38" s="294"/>
      <c r="BW38" s="294"/>
      <c r="BX38" s="294"/>
      <c r="BY38" s="294"/>
      <c r="BZ38" s="294"/>
      <c r="CA38" s="208"/>
      <c r="CB38" s="208"/>
      <c r="CC38" s="294"/>
      <c r="CD38" s="294"/>
      <c r="CE38" s="294"/>
      <c r="CF38" s="294"/>
      <c r="CG38" s="294"/>
      <c r="CH38" s="294"/>
      <c r="CI38" s="294"/>
      <c r="CJ38" s="294"/>
      <c r="CK38" s="294"/>
      <c r="CL38" s="294"/>
      <c r="CM38" s="294"/>
      <c r="CN38" s="208"/>
      <c r="CO38" s="208"/>
      <c r="CP38" s="294"/>
      <c r="CQ38" s="294"/>
      <c r="CR38" s="294"/>
      <c r="CS38" s="294"/>
      <c r="CT38" s="294"/>
      <c r="CU38" s="294"/>
      <c r="CV38" s="294"/>
      <c r="CW38" s="294"/>
      <c r="CX38" s="294"/>
      <c r="CY38" s="294"/>
      <c r="CZ38" s="294"/>
      <c r="DA38" s="208"/>
      <c r="DB38" s="208"/>
      <c r="DC38" s="294"/>
      <c r="DD38" s="294"/>
      <c r="DE38" s="294"/>
      <c r="DF38" s="294"/>
      <c r="DG38" s="294"/>
      <c r="DH38" s="294"/>
      <c r="DI38" s="294"/>
      <c r="DJ38" s="294"/>
      <c r="DK38" s="294"/>
      <c r="DL38" s="294"/>
      <c r="DM38" s="294"/>
      <c r="DN38" s="208"/>
      <c r="DO38" s="208"/>
      <c r="DP38" s="294"/>
      <c r="DQ38" s="294"/>
      <c r="DR38" s="294"/>
      <c r="DS38" s="294"/>
      <c r="DT38" s="294"/>
      <c r="DU38" s="294"/>
      <c r="DV38" s="294"/>
      <c r="DW38" s="294"/>
      <c r="DX38" s="294"/>
      <c r="DY38" s="294"/>
      <c r="DZ38" s="294"/>
      <c r="EA38" s="208"/>
      <c r="EB38" s="208"/>
      <c r="EC38" s="294"/>
      <c r="ED38" s="294"/>
      <c r="EE38" s="294"/>
      <c r="EF38" s="294"/>
      <c r="EG38" s="294"/>
      <c r="EH38" s="294"/>
      <c r="EI38" s="294"/>
      <c r="EJ38" s="294"/>
      <c r="EK38" s="294"/>
      <c r="EL38" s="294"/>
      <c r="EM38" s="294"/>
      <c r="EN38" s="208"/>
      <c r="EO38" s="208"/>
      <c r="EP38" s="294"/>
      <c r="EQ38" s="294"/>
      <c r="ER38" s="294"/>
      <c r="ES38" s="294"/>
      <c r="ET38" s="294"/>
      <c r="EU38" s="294"/>
      <c r="EV38" s="294"/>
      <c r="EW38" s="294"/>
      <c r="EX38" s="294"/>
      <c r="EY38" s="294"/>
      <c r="EZ38" s="294"/>
      <c r="FA38" s="208"/>
      <c r="FB38" s="208"/>
      <c r="FC38" s="294"/>
      <c r="FD38" s="294"/>
      <c r="FE38" s="294"/>
      <c r="FF38" s="294"/>
      <c r="FG38" s="294"/>
      <c r="FH38" s="294"/>
      <c r="FI38" s="294"/>
      <c r="FJ38" s="294"/>
      <c r="FK38" s="294"/>
      <c r="FL38" s="294"/>
      <c r="FM38" s="294"/>
      <c r="FN38" s="208"/>
      <c r="FO38" s="208"/>
      <c r="FP38" s="294"/>
      <c r="FQ38" s="294"/>
      <c r="FR38" s="294"/>
      <c r="FS38" s="294"/>
      <c r="FT38" s="294"/>
      <c r="FU38" s="294"/>
      <c r="FV38" s="294"/>
      <c r="FW38" s="294"/>
      <c r="FX38" s="294"/>
      <c r="FY38" s="294"/>
      <c r="FZ38" s="294"/>
      <c r="GA38" s="208"/>
      <c r="GB38" s="208"/>
      <c r="GC38" s="294"/>
      <c r="GD38" s="294"/>
      <c r="GE38" s="294"/>
      <c r="GF38" s="294"/>
      <c r="GG38" s="294"/>
      <c r="GH38" s="294"/>
      <c r="GI38" s="294"/>
      <c r="GJ38" s="294"/>
      <c r="GK38" s="294"/>
      <c r="GL38" s="294"/>
      <c r="GM38" s="294"/>
      <c r="GN38" s="208"/>
      <c r="GO38" s="208"/>
      <c r="GP38" s="294"/>
      <c r="GQ38" s="294"/>
      <c r="GR38" s="294"/>
      <c r="GS38" s="294"/>
      <c r="GT38" s="294"/>
      <c r="GU38" s="294"/>
      <c r="GV38" s="294"/>
      <c r="GW38" s="294"/>
      <c r="GX38" s="294"/>
      <c r="GY38" s="294"/>
      <c r="GZ38" s="294"/>
      <c r="HA38" s="208"/>
      <c r="HB38" s="208"/>
      <c r="HC38" s="294"/>
      <c r="HD38" s="294"/>
      <c r="HE38" s="294"/>
      <c r="HF38" s="294"/>
      <c r="HG38" s="294"/>
      <c r="HH38" s="294"/>
      <c r="HI38" s="294"/>
      <c r="HJ38" s="294"/>
      <c r="HK38" s="294"/>
      <c r="HL38" s="294"/>
      <c r="HM38" s="294"/>
      <c r="HN38" s="208"/>
      <c r="HO38" s="208"/>
      <c r="HP38" s="294"/>
      <c r="HQ38" s="294"/>
      <c r="HR38" s="294"/>
      <c r="HS38" s="294"/>
      <c r="HT38" s="294"/>
      <c r="HU38" s="294"/>
      <c r="HV38" s="294"/>
      <c r="HW38" s="294"/>
      <c r="HX38" s="294"/>
      <c r="HY38" s="294"/>
      <c r="HZ38" s="294"/>
      <c r="IA38" s="208"/>
      <c r="IB38" s="208"/>
      <c r="IC38" s="294"/>
      <c r="ID38" s="294"/>
      <c r="IE38" s="294"/>
      <c r="IF38" s="294"/>
      <c r="IG38" s="294"/>
      <c r="IH38" s="294"/>
      <c r="II38" s="294"/>
      <c r="IJ38" s="294"/>
      <c r="IK38" s="294"/>
      <c r="IL38" s="294"/>
      <c r="IM38" s="294"/>
      <c r="IN38" s="208"/>
      <c r="IO38" s="208"/>
      <c r="IP38" s="294"/>
      <c r="IQ38" s="294"/>
      <c r="IR38" s="294"/>
      <c r="IS38" s="294"/>
      <c r="IT38" s="294"/>
      <c r="IU38" s="294"/>
      <c r="IV38" s="294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7"/>
      <c r="Q39" s="297"/>
      <c r="R39" s="297"/>
      <c r="S39" s="297"/>
      <c r="T39" s="297"/>
      <c r="U39" s="297"/>
      <c r="V39" s="297"/>
      <c r="W39" s="297"/>
      <c r="X39" s="297"/>
      <c r="Y39" s="297"/>
      <c r="Z39" s="297"/>
      <c r="AA39" s="208"/>
      <c r="AB39" s="208"/>
      <c r="AC39" s="294"/>
      <c r="AD39" s="294"/>
      <c r="AE39" s="294"/>
      <c r="AF39" s="294"/>
      <c r="AG39" s="294"/>
      <c r="AH39" s="294"/>
      <c r="AI39" s="294"/>
      <c r="AJ39" s="294"/>
      <c r="AK39" s="294"/>
      <c r="AL39" s="294"/>
      <c r="AM39" s="294"/>
      <c r="AN39" s="208"/>
      <c r="AO39" s="208"/>
      <c r="AP39" s="294"/>
      <c r="AQ39" s="294"/>
      <c r="AR39" s="294"/>
      <c r="AS39" s="294"/>
      <c r="AT39" s="294"/>
      <c r="AU39" s="294"/>
      <c r="AV39" s="294"/>
      <c r="AW39" s="294"/>
      <c r="AX39" s="294"/>
      <c r="AY39" s="294"/>
      <c r="AZ39" s="294"/>
      <c r="BA39" s="208"/>
      <c r="BB39" s="208"/>
      <c r="BC39" s="294"/>
      <c r="BD39" s="294"/>
      <c r="BE39" s="294"/>
      <c r="BF39" s="294"/>
      <c r="BG39" s="294"/>
      <c r="BH39" s="294"/>
      <c r="BI39" s="294"/>
      <c r="BJ39" s="294"/>
      <c r="BK39" s="294"/>
      <c r="BL39" s="294"/>
      <c r="BM39" s="294"/>
      <c r="BN39" s="208"/>
      <c r="BO39" s="208"/>
      <c r="BP39" s="294"/>
      <c r="BQ39" s="294"/>
      <c r="BR39" s="294"/>
      <c r="BS39" s="294"/>
      <c r="BT39" s="294"/>
      <c r="BU39" s="294"/>
      <c r="BV39" s="294"/>
      <c r="BW39" s="294"/>
      <c r="BX39" s="294"/>
      <c r="BY39" s="294"/>
      <c r="BZ39" s="294"/>
      <c r="CA39" s="208"/>
      <c r="CB39" s="208"/>
      <c r="CC39" s="294"/>
      <c r="CD39" s="294"/>
      <c r="CE39" s="294"/>
      <c r="CF39" s="294"/>
      <c r="CG39" s="294"/>
      <c r="CH39" s="294"/>
      <c r="CI39" s="294"/>
      <c r="CJ39" s="294"/>
      <c r="CK39" s="294"/>
      <c r="CL39" s="294"/>
      <c r="CM39" s="294"/>
      <c r="CN39" s="208"/>
      <c r="CO39" s="208"/>
      <c r="CP39" s="294"/>
      <c r="CQ39" s="294"/>
      <c r="CR39" s="294"/>
      <c r="CS39" s="294"/>
      <c r="CT39" s="294"/>
      <c r="CU39" s="294"/>
      <c r="CV39" s="294"/>
      <c r="CW39" s="294"/>
      <c r="CX39" s="294"/>
      <c r="CY39" s="294"/>
      <c r="CZ39" s="294"/>
      <c r="DA39" s="208"/>
      <c r="DB39" s="208"/>
      <c r="DC39" s="294"/>
      <c r="DD39" s="294"/>
      <c r="DE39" s="294"/>
      <c r="DF39" s="294"/>
      <c r="DG39" s="294"/>
      <c r="DH39" s="294"/>
      <c r="DI39" s="294"/>
      <c r="DJ39" s="294"/>
      <c r="DK39" s="294"/>
      <c r="DL39" s="294"/>
      <c r="DM39" s="294"/>
      <c r="DN39" s="208"/>
      <c r="DO39" s="208"/>
      <c r="DP39" s="294"/>
      <c r="DQ39" s="294"/>
      <c r="DR39" s="294"/>
      <c r="DS39" s="294"/>
      <c r="DT39" s="294"/>
      <c r="DU39" s="294"/>
      <c r="DV39" s="294"/>
      <c r="DW39" s="294"/>
      <c r="DX39" s="294"/>
      <c r="DY39" s="294"/>
      <c r="DZ39" s="294"/>
      <c r="EA39" s="208"/>
      <c r="EB39" s="208"/>
      <c r="EC39" s="294"/>
      <c r="ED39" s="294"/>
      <c r="EE39" s="294"/>
      <c r="EF39" s="294"/>
      <c r="EG39" s="294"/>
      <c r="EH39" s="294"/>
      <c r="EI39" s="294"/>
      <c r="EJ39" s="294"/>
      <c r="EK39" s="294"/>
      <c r="EL39" s="294"/>
      <c r="EM39" s="294"/>
      <c r="EN39" s="208"/>
      <c r="EO39" s="208"/>
      <c r="EP39" s="294"/>
      <c r="EQ39" s="294"/>
      <c r="ER39" s="294"/>
      <c r="ES39" s="294"/>
      <c r="ET39" s="294"/>
      <c r="EU39" s="294"/>
      <c r="EV39" s="294"/>
      <c r="EW39" s="294"/>
      <c r="EX39" s="294"/>
      <c r="EY39" s="294"/>
      <c r="EZ39" s="294"/>
      <c r="FA39" s="208"/>
      <c r="FB39" s="208"/>
      <c r="FC39" s="294"/>
      <c r="FD39" s="294"/>
      <c r="FE39" s="294"/>
      <c r="FF39" s="294"/>
      <c r="FG39" s="294"/>
      <c r="FH39" s="294"/>
      <c r="FI39" s="294"/>
      <c r="FJ39" s="294"/>
      <c r="FK39" s="294"/>
      <c r="FL39" s="294"/>
      <c r="FM39" s="294"/>
      <c r="FN39" s="208"/>
      <c r="FO39" s="208"/>
      <c r="FP39" s="294"/>
      <c r="FQ39" s="294"/>
      <c r="FR39" s="294"/>
      <c r="FS39" s="294"/>
      <c r="FT39" s="294"/>
      <c r="FU39" s="294"/>
      <c r="FV39" s="294"/>
      <c r="FW39" s="294"/>
      <c r="FX39" s="294"/>
      <c r="FY39" s="294"/>
      <c r="FZ39" s="294"/>
      <c r="GA39" s="208"/>
      <c r="GB39" s="208"/>
      <c r="GC39" s="294"/>
      <c r="GD39" s="294"/>
      <c r="GE39" s="294"/>
      <c r="GF39" s="294"/>
      <c r="GG39" s="294"/>
      <c r="GH39" s="294"/>
      <c r="GI39" s="294"/>
      <c r="GJ39" s="294"/>
      <c r="GK39" s="294"/>
      <c r="GL39" s="294"/>
      <c r="GM39" s="294"/>
      <c r="GN39" s="208"/>
      <c r="GO39" s="208"/>
      <c r="GP39" s="294"/>
      <c r="GQ39" s="294"/>
      <c r="GR39" s="294"/>
      <c r="GS39" s="294"/>
      <c r="GT39" s="294"/>
      <c r="GU39" s="294"/>
      <c r="GV39" s="294"/>
      <c r="GW39" s="294"/>
      <c r="GX39" s="294"/>
      <c r="GY39" s="294"/>
      <c r="GZ39" s="294"/>
      <c r="HA39" s="208"/>
      <c r="HB39" s="208"/>
      <c r="HC39" s="294"/>
      <c r="HD39" s="294"/>
      <c r="HE39" s="294"/>
      <c r="HF39" s="294"/>
      <c r="HG39" s="294"/>
      <c r="HH39" s="294"/>
      <c r="HI39" s="294"/>
      <c r="HJ39" s="294"/>
      <c r="HK39" s="294"/>
      <c r="HL39" s="294"/>
      <c r="HM39" s="294"/>
      <c r="HN39" s="208"/>
      <c r="HO39" s="208"/>
      <c r="HP39" s="294"/>
      <c r="HQ39" s="294"/>
      <c r="HR39" s="294"/>
      <c r="HS39" s="294"/>
      <c r="HT39" s="294"/>
      <c r="HU39" s="294"/>
      <c r="HV39" s="294"/>
      <c r="HW39" s="294"/>
      <c r="HX39" s="294"/>
      <c r="HY39" s="294"/>
      <c r="HZ39" s="294"/>
      <c r="IA39" s="208"/>
      <c r="IB39" s="208"/>
      <c r="IC39" s="294"/>
      <c r="ID39" s="294"/>
      <c r="IE39" s="294"/>
      <c r="IF39" s="294"/>
      <c r="IG39" s="294"/>
      <c r="IH39" s="294"/>
      <c r="II39" s="294"/>
      <c r="IJ39" s="294"/>
      <c r="IK39" s="294"/>
      <c r="IL39" s="294"/>
      <c r="IM39" s="294"/>
      <c r="IN39" s="208"/>
      <c r="IO39" s="208"/>
      <c r="IP39" s="294"/>
      <c r="IQ39" s="294"/>
      <c r="IR39" s="294"/>
      <c r="IS39" s="294"/>
      <c r="IT39" s="294"/>
      <c r="IU39" s="294"/>
      <c r="IV39" s="294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7"/>
      <c r="Q40" s="297"/>
      <c r="R40" s="297"/>
      <c r="S40" s="297"/>
      <c r="T40" s="297"/>
      <c r="U40" s="297"/>
      <c r="V40" s="297"/>
      <c r="W40" s="297"/>
      <c r="X40" s="297"/>
      <c r="Y40" s="297"/>
      <c r="Z40" s="297"/>
      <c r="AA40" s="208"/>
      <c r="AB40" s="208"/>
      <c r="AC40" s="294"/>
      <c r="AD40" s="294"/>
      <c r="AE40" s="294"/>
      <c r="AF40" s="294"/>
      <c r="AG40" s="294"/>
      <c r="AH40" s="294"/>
      <c r="AI40" s="294"/>
      <c r="AJ40" s="294"/>
      <c r="AK40" s="294"/>
      <c r="AL40" s="294"/>
      <c r="AM40" s="294"/>
      <c r="AN40" s="208"/>
      <c r="AO40" s="208"/>
      <c r="AP40" s="294"/>
      <c r="AQ40" s="294"/>
      <c r="AR40" s="294"/>
      <c r="AS40" s="294"/>
      <c r="AT40" s="294"/>
      <c r="AU40" s="294"/>
      <c r="AV40" s="294"/>
      <c r="AW40" s="294"/>
      <c r="AX40" s="294"/>
      <c r="AY40" s="294"/>
      <c r="AZ40" s="294"/>
      <c r="BA40" s="208"/>
      <c r="BB40" s="208"/>
      <c r="BC40" s="294"/>
      <c r="BD40" s="294"/>
      <c r="BE40" s="294"/>
      <c r="BF40" s="294"/>
      <c r="BG40" s="294"/>
      <c r="BH40" s="294"/>
      <c r="BI40" s="294"/>
      <c r="BJ40" s="294"/>
      <c r="BK40" s="294"/>
      <c r="BL40" s="294"/>
      <c r="BM40" s="294"/>
      <c r="BN40" s="208"/>
      <c r="BO40" s="208"/>
      <c r="BP40" s="294"/>
      <c r="BQ40" s="294"/>
      <c r="BR40" s="294"/>
      <c r="BS40" s="294"/>
      <c r="BT40" s="294"/>
      <c r="BU40" s="294"/>
      <c r="BV40" s="294"/>
      <c r="BW40" s="294"/>
      <c r="BX40" s="294"/>
      <c r="BY40" s="294"/>
      <c r="BZ40" s="294"/>
      <c r="CA40" s="208"/>
      <c r="CB40" s="208"/>
      <c r="CC40" s="294"/>
      <c r="CD40" s="294"/>
      <c r="CE40" s="294"/>
      <c r="CF40" s="294"/>
      <c r="CG40" s="294"/>
      <c r="CH40" s="294"/>
      <c r="CI40" s="294"/>
      <c r="CJ40" s="294"/>
      <c r="CK40" s="294"/>
      <c r="CL40" s="294"/>
      <c r="CM40" s="294"/>
      <c r="CN40" s="208"/>
      <c r="CO40" s="208"/>
      <c r="CP40" s="294"/>
      <c r="CQ40" s="294"/>
      <c r="CR40" s="294"/>
      <c r="CS40" s="294"/>
      <c r="CT40" s="294"/>
      <c r="CU40" s="294"/>
      <c r="CV40" s="294"/>
      <c r="CW40" s="294"/>
      <c r="CX40" s="294"/>
      <c r="CY40" s="294"/>
      <c r="CZ40" s="294"/>
      <c r="DA40" s="208"/>
      <c r="DB40" s="208"/>
      <c r="DC40" s="294"/>
      <c r="DD40" s="294"/>
      <c r="DE40" s="294"/>
      <c r="DF40" s="294"/>
      <c r="DG40" s="294"/>
      <c r="DH40" s="294"/>
      <c r="DI40" s="294"/>
      <c r="DJ40" s="294"/>
      <c r="DK40" s="294"/>
      <c r="DL40" s="294"/>
      <c r="DM40" s="294"/>
      <c r="DN40" s="208"/>
      <c r="DO40" s="208"/>
      <c r="DP40" s="294"/>
      <c r="DQ40" s="294"/>
      <c r="DR40" s="294"/>
      <c r="DS40" s="294"/>
      <c r="DT40" s="294"/>
      <c r="DU40" s="294"/>
      <c r="DV40" s="294"/>
      <c r="DW40" s="294"/>
      <c r="DX40" s="294"/>
      <c r="DY40" s="294"/>
      <c r="DZ40" s="294"/>
      <c r="EA40" s="208"/>
      <c r="EB40" s="208"/>
      <c r="EC40" s="294"/>
      <c r="ED40" s="294"/>
      <c r="EE40" s="294"/>
      <c r="EF40" s="294"/>
      <c r="EG40" s="294"/>
      <c r="EH40" s="294"/>
      <c r="EI40" s="294"/>
      <c r="EJ40" s="294"/>
      <c r="EK40" s="294"/>
      <c r="EL40" s="294"/>
      <c r="EM40" s="294"/>
      <c r="EN40" s="208"/>
      <c r="EO40" s="208"/>
      <c r="EP40" s="294"/>
      <c r="EQ40" s="294"/>
      <c r="ER40" s="294"/>
      <c r="ES40" s="294"/>
      <c r="ET40" s="294"/>
      <c r="EU40" s="294"/>
      <c r="EV40" s="294"/>
      <c r="EW40" s="294"/>
      <c r="EX40" s="294"/>
      <c r="EY40" s="294"/>
      <c r="EZ40" s="294"/>
      <c r="FA40" s="208"/>
      <c r="FB40" s="208"/>
      <c r="FC40" s="294"/>
      <c r="FD40" s="294"/>
      <c r="FE40" s="294"/>
      <c r="FF40" s="294"/>
      <c r="FG40" s="294"/>
      <c r="FH40" s="294"/>
      <c r="FI40" s="294"/>
      <c r="FJ40" s="294"/>
      <c r="FK40" s="294"/>
      <c r="FL40" s="294"/>
      <c r="FM40" s="294"/>
      <c r="FN40" s="208"/>
      <c r="FO40" s="208"/>
      <c r="FP40" s="294"/>
      <c r="FQ40" s="294"/>
      <c r="FR40" s="294"/>
      <c r="FS40" s="294"/>
      <c r="FT40" s="294"/>
      <c r="FU40" s="294"/>
      <c r="FV40" s="294"/>
      <c r="FW40" s="294"/>
      <c r="FX40" s="294"/>
      <c r="FY40" s="294"/>
      <c r="FZ40" s="294"/>
      <c r="GA40" s="208"/>
      <c r="GB40" s="208"/>
      <c r="GC40" s="294"/>
      <c r="GD40" s="294"/>
      <c r="GE40" s="294"/>
      <c r="GF40" s="294"/>
      <c r="GG40" s="294"/>
      <c r="GH40" s="294"/>
      <c r="GI40" s="294"/>
      <c r="GJ40" s="294"/>
      <c r="GK40" s="294"/>
      <c r="GL40" s="294"/>
      <c r="GM40" s="294"/>
      <c r="GN40" s="208"/>
      <c r="GO40" s="208"/>
      <c r="GP40" s="294"/>
      <c r="GQ40" s="294"/>
      <c r="GR40" s="294"/>
      <c r="GS40" s="294"/>
      <c r="GT40" s="294"/>
      <c r="GU40" s="294"/>
      <c r="GV40" s="294"/>
      <c r="GW40" s="294"/>
      <c r="GX40" s="294"/>
      <c r="GY40" s="294"/>
      <c r="GZ40" s="294"/>
      <c r="HA40" s="208"/>
      <c r="HB40" s="208"/>
      <c r="HC40" s="294"/>
      <c r="HD40" s="294"/>
      <c r="HE40" s="294"/>
      <c r="HF40" s="294"/>
      <c r="HG40" s="294"/>
      <c r="HH40" s="294"/>
      <c r="HI40" s="294"/>
      <c r="HJ40" s="294"/>
      <c r="HK40" s="294"/>
      <c r="HL40" s="294"/>
      <c r="HM40" s="294"/>
      <c r="HN40" s="208"/>
      <c r="HO40" s="208"/>
      <c r="HP40" s="294"/>
      <c r="HQ40" s="294"/>
      <c r="HR40" s="294"/>
      <c r="HS40" s="294"/>
      <c r="HT40" s="294"/>
      <c r="HU40" s="294"/>
      <c r="HV40" s="294"/>
      <c r="HW40" s="294"/>
      <c r="HX40" s="294"/>
      <c r="HY40" s="294"/>
      <c r="HZ40" s="294"/>
      <c r="IA40" s="208"/>
      <c r="IB40" s="208"/>
      <c r="IC40" s="294"/>
      <c r="ID40" s="294"/>
      <c r="IE40" s="294"/>
      <c r="IF40" s="294"/>
      <c r="IG40" s="294"/>
      <c r="IH40" s="294"/>
      <c r="II40" s="294"/>
      <c r="IJ40" s="294"/>
      <c r="IK40" s="294"/>
      <c r="IL40" s="294"/>
      <c r="IM40" s="294"/>
      <c r="IN40" s="208"/>
      <c r="IO40" s="208"/>
      <c r="IP40" s="294"/>
      <c r="IQ40" s="294"/>
      <c r="IR40" s="294"/>
      <c r="IS40" s="294"/>
      <c r="IT40" s="294"/>
      <c r="IU40" s="294"/>
      <c r="IV40" s="294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893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7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C52:M52"/>
    <mergeCell ref="C50:M50"/>
    <mergeCell ref="C47:M47"/>
    <mergeCell ref="C48:M48"/>
    <mergeCell ref="C49:M49"/>
    <mergeCell ref="C51:M51"/>
    <mergeCell ref="C43:M43"/>
    <mergeCell ref="IC40:IM40"/>
    <mergeCell ref="AP40:AZ40"/>
    <mergeCell ref="C42:M42"/>
    <mergeCell ref="C41:M41"/>
    <mergeCell ref="BC40:BM40"/>
    <mergeCell ref="BP40:BZ40"/>
    <mergeCell ref="FC40:FM40"/>
    <mergeCell ref="CC40:CM40"/>
    <mergeCell ref="CP40:CZ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FP40:FZ40"/>
    <mergeCell ref="GC39:GM39"/>
    <mergeCell ref="DC40:DM40"/>
    <mergeCell ref="EP40:EZ40"/>
    <mergeCell ref="DP40:DZ40"/>
    <mergeCell ref="P39:Z39"/>
    <mergeCell ref="AC39:AM39"/>
    <mergeCell ref="AP39:AZ39"/>
    <mergeCell ref="CP39:CZ39"/>
    <mergeCell ref="BP39:BZ39"/>
    <mergeCell ref="CC39:CM39"/>
    <mergeCell ref="DC39:DM39"/>
    <mergeCell ref="DP39:DZ39"/>
    <mergeCell ref="EC39:EM39"/>
    <mergeCell ref="HP38:HZ38"/>
    <mergeCell ref="IP39:IV39"/>
    <mergeCell ref="EP39:EZ39"/>
    <mergeCell ref="FC39:FM39"/>
    <mergeCell ref="FP39:FZ39"/>
    <mergeCell ref="GP39:GZ39"/>
    <mergeCell ref="IC39:IM39"/>
    <mergeCell ref="HC39:HM39"/>
    <mergeCell ref="IC38:IM38"/>
    <mergeCell ref="HP39:HZ39"/>
    <mergeCell ref="IP38:IV38"/>
    <mergeCell ref="DC38:DM38"/>
    <mergeCell ref="DP38:DZ38"/>
    <mergeCell ref="EC38:EM38"/>
    <mergeCell ref="EP38:EZ38"/>
    <mergeCell ref="FC38:FM38"/>
    <mergeCell ref="FP38:FZ38"/>
    <mergeCell ref="GC38:GM38"/>
    <mergeCell ref="GP38:GZ38"/>
    <mergeCell ref="HC38:HM38"/>
    <mergeCell ref="P38:Z38"/>
    <mergeCell ref="AC38:AM38"/>
    <mergeCell ref="AP38:AZ38"/>
    <mergeCell ref="HC32:HM32"/>
    <mergeCell ref="DC32:DM32"/>
    <mergeCell ref="DP32:DZ32"/>
    <mergeCell ref="EC32:EM32"/>
    <mergeCell ref="EP32:EZ32"/>
    <mergeCell ref="FP32:FZ32"/>
    <mergeCell ref="GC32:GM32"/>
    <mergeCell ref="CC38:CM38"/>
    <mergeCell ref="CC32:CM32"/>
    <mergeCell ref="CP38:CZ38"/>
    <mergeCell ref="AC32:AM32"/>
    <mergeCell ref="AP32:AZ32"/>
    <mergeCell ref="CP32:CZ32"/>
    <mergeCell ref="EP31:EZ31"/>
    <mergeCell ref="FC31:FM31"/>
    <mergeCell ref="GP31:GZ31"/>
    <mergeCell ref="HC31:HM31"/>
    <mergeCell ref="HP31:HZ31"/>
    <mergeCell ref="IC31:IM31"/>
    <mergeCell ref="IP31:IV31"/>
    <mergeCell ref="HP32:HZ32"/>
    <mergeCell ref="IC32:IM32"/>
    <mergeCell ref="IP32:IV32"/>
    <mergeCell ref="FC32:FM32"/>
    <mergeCell ref="GP32:GZ32"/>
    <mergeCell ref="BC39:BM39"/>
    <mergeCell ref="BP31:BZ31"/>
    <mergeCell ref="BP38:BZ38"/>
    <mergeCell ref="FP31:FZ31"/>
    <mergeCell ref="GC31:GM31"/>
    <mergeCell ref="IC30:IM30"/>
    <mergeCell ref="FP30:FZ30"/>
    <mergeCell ref="GC30:GM30"/>
    <mergeCell ref="GP30:GZ30"/>
    <mergeCell ref="HC30:HM30"/>
    <mergeCell ref="C39:M39"/>
    <mergeCell ref="C40:M40"/>
    <mergeCell ref="CC31:CM31"/>
    <mergeCell ref="CP31:CZ31"/>
    <mergeCell ref="DC31:DM31"/>
    <mergeCell ref="FC30:FM30"/>
    <mergeCell ref="CC30:CM30"/>
    <mergeCell ref="CP30:CZ30"/>
    <mergeCell ref="DC30:DM30"/>
    <mergeCell ref="DP30:DZ30"/>
    <mergeCell ref="P40:Z40"/>
    <mergeCell ref="AC40:AM40"/>
    <mergeCell ref="BP32:BZ32"/>
    <mergeCell ref="BC38:BM38"/>
    <mergeCell ref="P30:Z30"/>
    <mergeCell ref="AC30:AM30"/>
    <mergeCell ref="AP30:AZ30"/>
    <mergeCell ref="P31:Z31"/>
    <mergeCell ref="BC31:BM31"/>
    <mergeCell ref="BC32:BM32"/>
    <mergeCell ref="HC29:HM29"/>
    <mergeCell ref="HP29:HZ29"/>
    <mergeCell ref="IC29:IM29"/>
    <mergeCell ref="IP29:IV29"/>
    <mergeCell ref="BC30:BM30"/>
    <mergeCell ref="BP30:BZ30"/>
    <mergeCell ref="EC30:EM30"/>
    <mergeCell ref="EP30:EZ30"/>
    <mergeCell ref="IP30:IV30"/>
    <mergeCell ref="HP30:HZ30"/>
    <mergeCell ref="EP29:EZ29"/>
    <mergeCell ref="FC29:FM29"/>
    <mergeCell ref="P29:Z29"/>
    <mergeCell ref="AC29:AM29"/>
    <mergeCell ref="AP29:AZ29"/>
    <mergeCell ref="C32:M32"/>
    <mergeCell ref="C30:M30"/>
    <mergeCell ref="C31:M31"/>
    <mergeCell ref="DP31:DZ31"/>
    <mergeCell ref="EC31:EM31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EC29:EM29"/>
    <mergeCell ref="AP31:AZ31"/>
    <mergeCell ref="P32:Z32"/>
    <mergeCell ref="C5:M5"/>
    <mergeCell ref="C6:M6"/>
    <mergeCell ref="C7:M7"/>
    <mergeCell ref="C8:M8"/>
    <mergeCell ref="C16:M16"/>
    <mergeCell ref="C17:M17"/>
    <mergeCell ref="C18:M18"/>
    <mergeCell ref="A2:E2"/>
    <mergeCell ref="A1:I1"/>
    <mergeCell ref="C3:M3"/>
    <mergeCell ref="C4:M4"/>
    <mergeCell ref="F2:I2"/>
    <mergeCell ref="AC31:AM31"/>
    <mergeCell ref="C65:M65"/>
    <mergeCell ref="C19:M19"/>
    <mergeCell ref="C9:M9"/>
    <mergeCell ref="C10:M10"/>
    <mergeCell ref="C11:M11"/>
    <mergeCell ref="C12:M12"/>
    <mergeCell ref="C13:M13"/>
    <mergeCell ref="C33:M33"/>
    <mergeCell ref="C37:M37"/>
    <mergeCell ref="C38:M38"/>
    <mergeCell ref="C14:M14"/>
    <mergeCell ref="C15:M15"/>
    <mergeCell ref="C20:M20"/>
    <mergeCell ref="C29:M29"/>
    <mergeCell ref="C25:M25"/>
    <mergeCell ref="C26:M26"/>
    <mergeCell ref="C27:M27"/>
    <mergeCell ref="C70:M70"/>
    <mergeCell ref="A72:E72"/>
    <mergeCell ref="C73:M73"/>
    <mergeCell ref="C74:M74"/>
    <mergeCell ref="C34:M34"/>
    <mergeCell ref="C35:M35"/>
    <mergeCell ref="C36:M36"/>
    <mergeCell ref="C62:M62"/>
    <mergeCell ref="C63:M63"/>
    <mergeCell ref="C64:M64"/>
    <mergeCell ref="C90:M90"/>
    <mergeCell ref="C75:M75"/>
    <mergeCell ref="C76:M76"/>
    <mergeCell ref="C77:M77"/>
    <mergeCell ref="C78:M78"/>
    <mergeCell ref="C79:M79"/>
    <mergeCell ref="C80:M80"/>
    <mergeCell ref="C81:M81"/>
    <mergeCell ref="C82:M82"/>
    <mergeCell ref="C84:M84"/>
    <mergeCell ref="C85:M85"/>
    <mergeCell ref="C86:M86"/>
    <mergeCell ref="C87:M87"/>
    <mergeCell ref="C88:M88"/>
    <mergeCell ref="C89:M89"/>
    <mergeCell ref="C28:M28"/>
    <mergeCell ref="C21:M21"/>
    <mergeCell ref="C22:M22"/>
    <mergeCell ref="C23:M23"/>
    <mergeCell ref="C24:M24"/>
    <mergeCell ref="C83:M83"/>
    <mergeCell ref="C66:M66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2010-11-01T13:30:37Z</cp:lastPrinted>
  <dcterms:created xsi:type="dcterms:W3CDTF">1997-12-04T19:04:30Z</dcterms:created>
  <dcterms:modified xsi:type="dcterms:W3CDTF">2025-01-09T20:10:24Z</dcterms:modified>
</cp:coreProperties>
</file>