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D51BE1BB-96C7-4DE5-B22D-28E7CE14C903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9BE3D5C8-6194-408C-98E1-E512AA2B9CC7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2" i="1" l="1"/>
  <c r="J458" i="1"/>
  <c r="J49" i="1"/>
  <c r="F49" i="1"/>
  <c r="H190" i="1"/>
  <c r="L190" i="1" s="1"/>
  <c r="H226" i="1"/>
  <c r="F50" i="1"/>
  <c r="H200" i="1"/>
  <c r="H236" i="1"/>
  <c r="J581" i="1"/>
  <c r="H581" i="1"/>
  <c r="K581" i="1" s="1"/>
  <c r="K588" i="1" s="1"/>
  <c r="G637" i="1" s="1"/>
  <c r="J637" i="1" s="1"/>
  <c r="H531" i="1"/>
  <c r="H534" i="1" s="1"/>
  <c r="F109" i="1"/>
  <c r="F9" i="1"/>
  <c r="F25" i="1"/>
  <c r="F489" i="1"/>
  <c r="F359" i="1"/>
  <c r="I359" i="1" s="1"/>
  <c r="I361" i="1" s="1"/>
  <c r="H624" i="1" s="1"/>
  <c r="H194" i="1"/>
  <c r="H196" i="1"/>
  <c r="H511" i="1"/>
  <c r="H513" i="1"/>
  <c r="H585" i="1"/>
  <c r="G150" i="1"/>
  <c r="D80" i="2" s="1"/>
  <c r="D83" i="2" s="1"/>
  <c r="G89" i="1"/>
  <c r="G103" i="1" s="1"/>
  <c r="C19" i="12"/>
  <c r="C20" i="12"/>
  <c r="B20" i="12"/>
  <c r="B19" i="12"/>
  <c r="B10" i="12"/>
  <c r="H350" i="1"/>
  <c r="F360" i="1"/>
  <c r="I324" i="1"/>
  <c r="K324" i="1"/>
  <c r="H324" i="1"/>
  <c r="F324" i="1"/>
  <c r="L324" i="1" s="1"/>
  <c r="H189" i="1"/>
  <c r="L189" i="1" s="1"/>
  <c r="H225" i="1"/>
  <c r="L225" i="1" s="1"/>
  <c r="L239" i="1" s="1"/>
  <c r="H247" i="1"/>
  <c r="I199" i="1"/>
  <c r="H199" i="1"/>
  <c r="F196" i="1"/>
  <c r="G196" i="1"/>
  <c r="K196" i="1"/>
  <c r="G8" i="13" s="1"/>
  <c r="I196" i="1"/>
  <c r="G195" i="1"/>
  <c r="I194" i="1"/>
  <c r="G194" i="1"/>
  <c r="G203" i="1" s="1"/>
  <c r="G249" i="1" s="1"/>
  <c r="G263" i="1" s="1"/>
  <c r="F194" i="1"/>
  <c r="L194" i="1" s="1"/>
  <c r="C60" i="2"/>
  <c r="B2" i="13"/>
  <c r="F8" i="13"/>
  <c r="L196" i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G5" i="13"/>
  <c r="G33" i="13" s="1"/>
  <c r="L191" i="1"/>
  <c r="L192" i="1"/>
  <c r="L207" i="1"/>
  <c r="L208" i="1"/>
  <c r="L209" i="1"/>
  <c r="L210" i="1"/>
  <c r="L226" i="1"/>
  <c r="L227" i="1"/>
  <c r="C103" i="2" s="1"/>
  <c r="L228" i="1"/>
  <c r="F6" i="13"/>
  <c r="G6" i="13"/>
  <c r="L212" i="1"/>
  <c r="L230" i="1"/>
  <c r="F7" i="13"/>
  <c r="G7" i="13"/>
  <c r="L195" i="1"/>
  <c r="D7" i="13" s="1"/>
  <c r="C7" i="13" s="1"/>
  <c r="L213" i="1"/>
  <c r="L221" i="1" s="1"/>
  <c r="G650" i="1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C20" i="10" s="1"/>
  <c r="L235" i="1"/>
  <c r="F15" i="13"/>
  <c r="G15" i="13"/>
  <c r="L200" i="1"/>
  <c r="D15" i="13" s="1"/>
  <c r="C15" i="13" s="1"/>
  <c r="L218" i="1"/>
  <c r="L236" i="1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G651" i="1" s="1"/>
  <c r="L352" i="1"/>
  <c r="J282" i="1"/>
  <c r="J301" i="1"/>
  <c r="F31" i="13" s="1"/>
  <c r="J320" i="1"/>
  <c r="K282" i="1"/>
  <c r="K301" i="1"/>
  <c r="K320" i="1"/>
  <c r="G31" i="13"/>
  <c r="L268" i="1"/>
  <c r="E101" i="2" s="1"/>
  <c r="L269" i="1"/>
  <c r="L270" i="1"/>
  <c r="L271" i="1"/>
  <c r="L273" i="1"/>
  <c r="L274" i="1"/>
  <c r="L275" i="1"/>
  <c r="L276" i="1"/>
  <c r="L277" i="1"/>
  <c r="L278" i="1"/>
  <c r="L279" i="1"/>
  <c r="L280" i="1"/>
  <c r="E117" i="2" s="1"/>
  <c r="L282" i="1"/>
  <c r="L287" i="1"/>
  <c r="L288" i="1"/>
  <c r="L289" i="1"/>
  <c r="L290" i="1"/>
  <c r="L292" i="1"/>
  <c r="L301" i="1" s="1"/>
  <c r="L293" i="1"/>
  <c r="L294" i="1"/>
  <c r="L295" i="1"/>
  <c r="L296" i="1"/>
  <c r="L297" i="1"/>
  <c r="L298" i="1"/>
  <c r="C21" i="10" s="1"/>
  <c r="L299" i="1"/>
  <c r="L306" i="1"/>
  <c r="L307" i="1"/>
  <c r="L308" i="1"/>
  <c r="L309" i="1"/>
  <c r="L320" i="1" s="1"/>
  <c r="L311" i="1"/>
  <c r="L312" i="1"/>
  <c r="L313" i="1"/>
  <c r="L314" i="1"/>
  <c r="L315" i="1"/>
  <c r="L316" i="1"/>
  <c r="E115" i="2" s="1"/>
  <c r="L317" i="1"/>
  <c r="H652" i="1" s="1"/>
  <c r="L318" i="1"/>
  <c r="L325" i="1"/>
  <c r="L326" i="1"/>
  <c r="L327" i="1"/>
  <c r="L252" i="1"/>
  <c r="L253" i="1"/>
  <c r="C124" i="2" s="1"/>
  <c r="L333" i="1"/>
  <c r="C32" i="10" s="1"/>
  <c r="L334" i="1"/>
  <c r="L247" i="1"/>
  <c r="L328" i="1"/>
  <c r="F22" i="13" s="1"/>
  <c r="C22" i="13" s="1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C18" i="12"/>
  <c r="A22" i="12" s="1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/>
  <c r="G51" i="2"/>
  <c r="G54" i="2" s="1"/>
  <c r="G55" i="2" s="1"/>
  <c r="G53" i="2"/>
  <c r="F2" i="11"/>
  <c r="L603" i="1"/>
  <c r="H653" i="1"/>
  <c r="L602" i="1"/>
  <c r="G653" i="1" s="1"/>
  <c r="L601" i="1"/>
  <c r="F653" i="1" s="1"/>
  <c r="I653" i="1" s="1"/>
  <c r="C40" i="10"/>
  <c r="F52" i="1"/>
  <c r="F104" i="1" s="1"/>
  <c r="G52" i="1"/>
  <c r="H52" i="1"/>
  <c r="I52" i="1"/>
  <c r="I104" i="1" s="1"/>
  <c r="I185" i="1" s="1"/>
  <c r="G620" i="1" s="1"/>
  <c r="J620" i="1" s="1"/>
  <c r="F71" i="1"/>
  <c r="F86" i="1"/>
  <c r="C50" i="2" s="1"/>
  <c r="C54" i="2" s="1"/>
  <c r="F103" i="1"/>
  <c r="H71" i="1"/>
  <c r="H86" i="1"/>
  <c r="H104" i="1" s="1"/>
  <c r="H185" i="1" s="1"/>
  <c r="G619" i="1" s="1"/>
  <c r="J619" i="1" s="1"/>
  <c r="H103" i="1"/>
  <c r="I103" i="1"/>
  <c r="J103" i="1"/>
  <c r="J104" i="1"/>
  <c r="J185" i="1" s="1"/>
  <c r="C37" i="10"/>
  <c r="F113" i="1"/>
  <c r="F128" i="1"/>
  <c r="F132" i="1"/>
  <c r="G113" i="1"/>
  <c r="G132" i="1" s="1"/>
  <c r="G128" i="1"/>
  <c r="H113" i="1"/>
  <c r="H132" i="1" s="1"/>
  <c r="H128" i="1"/>
  <c r="I113" i="1"/>
  <c r="I132" i="1" s="1"/>
  <c r="I128" i="1"/>
  <c r="J113" i="1"/>
  <c r="J128" i="1"/>
  <c r="J132" i="1"/>
  <c r="F139" i="1"/>
  <c r="F161" i="1" s="1"/>
  <c r="F154" i="1"/>
  <c r="G139" i="1"/>
  <c r="H139" i="1"/>
  <c r="H161" i="1" s="1"/>
  <c r="H154" i="1"/>
  <c r="I139" i="1"/>
  <c r="I154" i="1"/>
  <c r="I161" i="1"/>
  <c r="L242" i="1"/>
  <c r="L246" i="1"/>
  <c r="L260" i="1"/>
  <c r="L261" i="1"/>
  <c r="L341" i="1"/>
  <c r="E134" i="2" s="1"/>
  <c r="L342" i="1"/>
  <c r="E135" i="2" s="1"/>
  <c r="C26" i="10"/>
  <c r="I655" i="1"/>
  <c r="I660" i="1"/>
  <c r="F652" i="1"/>
  <c r="I659" i="1"/>
  <c r="C6" i="10"/>
  <c r="C5" i="10"/>
  <c r="C42" i="10"/>
  <c r="L366" i="1"/>
  <c r="L367" i="1"/>
  <c r="L368" i="1"/>
  <c r="L369" i="1"/>
  <c r="L370" i="1"/>
  <c r="C29" i="10" s="1"/>
  <c r="L371" i="1"/>
  <c r="L372" i="1"/>
  <c r="B2" i="10"/>
  <c r="L336" i="1"/>
  <c r="L337" i="1"/>
  <c r="L338" i="1"/>
  <c r="L339" i="1"/>
  <c r="K343" i="1"/>
  <c r="L511" i="1"/>
  <c r="F539" i="1"/>
  <c r="L512" i="1"/>
  <c r="F540" i="1"/>
  <c r="K540" i="1" s="1"/>
  <c r="L513" i="1"/>
  <c r="F541" i="1"/>
  <c r="L516" i="1"/>
  <c r="G539" i="1"/>
  <c r="L517" i="1"/>
  <c r="L519" i="1" s="1"/>
  <c r="G540" i="1"/>
  <c r="L518" i="1"/>
  <c r="G541" i="1" s="1"/>
  <c r="L521" i="1"/>
  <c r="H539" i="1"/>
  <c r="L522" i="1"/>
  <c r="H540" i="1"/>
  <c r="L523" i="1"/>
  <c r="H541" i="1" s="1"/>
  <c r="H542" i="1" s="1"/>
  <c r="L526" i="1"/>
  <c r="I539" i="1"/>
  <c r="L527" i="1"/>
  <c r="I540" i="1" s="1"/>
  <c r="L528" i="1"/>
  <c r="I541" i="1" s="1"/>
  <c r="L532" i="1"/>
  <c r="J540" i="1" s="1"/>
  <c r="L533" i="1"/>
  <c r="J541" i="1"/>
  <c r="E124" i="2"/>
  <c r="K262" i="1"/>
  <c r="J262" i="1"/>
  <c r="I262" i="1"/>
  <c r="H262" i="1"/>
  <c r="G262" i="1"/>
  <c r="F262" i="1"/>
  <c r="L262" i="1" s="1"/>
  <c r="C123" i="2"/>
  <c r="A1" i="2"/>
  <c r="A2" i="2"/>
  <c r="C9" i="2"/>
  <c r="D9" i="2"/>
  <c r="E9" i="2"/>
  <c r="E19" i="2" s="1"/>
  <c r="F9" i="2"/>
  <c r="I431" i="1"/>
  <c r="J9" i="1"/>
  <c r="J19" i="1" s="1"/>
  <c r="G611" i="1" s="1"/>
  <c r="G9" i="2"/>
  <c r="C10" i="2"/>
  <c r="D10" i="2"/>
  <c r="E10" i="2"/>
  <c r="F10" i="2"/>
  <c r="I432" i="1"/>
  <c r="J10" i="1"/>
  <c r="G10" i="2" s="1"/>
  <c r="C11" i="2"/>
  <c r="C12" i="2"/>
  <c r="D12" i="2"/>
  <c r="E12" i="2"/>
  <c r="F12" i="2"/>
  <c r="F19" i="2" s="1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D19" i="2" s="1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J23" i="1"/>
  <c r="G22" i="2"/>
  <c r="C23" i="2"/>
  <c r="C32" i="2" s="1"/>
  <c r="D23" i="2"/>
  <c r="D32" i="2" s="1"/>
  <c r="E23" i="2"/>
  <c r="F23" i="2"/>
  <c r="F32" i="2" s="1"/>
  <c r="I441" i="1"/>
  <c r="J24" i="1"/>
  <c r="G23" i="2" s="1"/>
  <c r="C24" i="2"/>
  <c r="D24" i="2"/>
  <c r="E24" i="2"/>
  <c r="F24" i="2"/>
  <c r="I442" i="1"/>
  <c r="I444" i="1" s="1"/>
  <c r="J25" i="1"/>
  <c r="G24" i="2" s="1"/>
  <c r="C25" i="2"/>
  <c r="D25" i="2"/>
  <c r="E25" i="2"/>
  <c r="E32" i="2" s="1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C42" i="2" s="1"/>
  <c r="D34" i="2"/>
  <c r="D42" i="2" s="1"/>
  <c r="E34" i="2"/>
  <c r="E42" i="2" s="1"/>
  <c r="E43" i="2" s="1"/>
  <c r="F34" i="2"/>
  <c r="C35" i="2"/>
  <c r="D35" i="2"/>
  <c r="E35" i="2"/>
  <c r="F35" i="2"/>
  <c r="C36" i="2"/>
  <c r="D36" i="2"/>
  <c r="E36" i="2"/>
  <c r="F36" i="2"/>
  <c r="I446" i="1"/>
  <c r="J37" i="1"/>
  <c r="G36" i="2"/>
  <c r="C37" i="2"/>
  <c r="D37" i="2"/>
  <c r="E37" i="2"/>
  <c r="F37" i="2"/>
  <c r="I447" i="1"/>
  <c r="J38" i="1" s="1"/>
  <c r="G37" i="2" s="1"/>
  <c r="C38" i="2"/>
  <c r="D38" i="2"/>
  <c r="E38" i="2"/>
  <c r="F38" i="2"/>
  <c r="F42" i="2" s="1"/>
  <c r="F43" i="2" s="1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C55" i="2" s="1"/>
  <c r="C96" i="2" s="1"/>
  <c r="D48" i="2"/>
  <c r="E48" i="2"/>
  <c r="F48" i="2"/>
  <c r="C49" i="2"/>
  <c r="E49" i="2"/>
  <c r="E54" i="2" s="1"/>
  <c r="E55" i="2" s="1"/>
  <c r="E50" i="2"/>
  <c r="C51" i="2"/>
  <c r="D51" i="2"/>
  <c r="D54" i="2" s="1"/>
  <c r="D55" i="2" s="1"/>
  <c r="E51" i="2"/>
  <c r="F51" i="2"/>
  <c r="F54" i="2" s="1"/>
  <c r="F55" i="2" s="1"/>
  <c r="D52" i="2"/>
  <c r="C53" i="2"/>
  <c r="D53" i="2"/>
  <c r="E53" i="2"/>
  <c r="F53" i="2"/>
  <c r="C58" i="2"/>
  <c r="C62" i="2" s="1"/>
  <c r="C59" i="2"/>
  <c r="C61" i="2"/>
  <c r="D61" i="2"/>
  <c r="D62" i="2" s="1"/>
  <c r="E61" i="2"/>
  <c r="F61" i="2"/>
  <c r="G61" i="2"/>
  <c r="E62" i="2"/>
  <c r="F62" i="2"/>
  <c r="G62" i="2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E69" i="2"/>
  <c r="E70" i="2" s="1"/>
  <c r="E73" i="2" s="1"/>
  <c r="F69" i="2"/>
  <c r="G69" i="2"/>
  <c r="G70" i="2" s="1"/>
  <c r="G73" i="2" s="1"/>
  <c r="C71" i="2"/>
  <c r="D71" i="2"/>
  <c r="E71" i="2"/>
  <c r="C72" i="2"/>
  <c r="E72" i="2"/>
  <c r="C77" i="2"/>
  <c r="D77" i="2"/>
  <c r="F77" i="2"/>
  <c r="C79" i="2"/>
  <c r="E79" i="2"/>
  <c r="F79" i="2"/>
  <c r="F83" i="2" s="1"/>
  <c r="C80" i="2"/>
  <c r="E80" i="2"/>
  <c r="F80" i="2"/>
  <c r="C81" i="2"/>
  <c r="D81" i="2"/>
  <c r="E81" i="2"/>
  <c r="F81" i="2"/>
  <c r="C82" i="2"/>
  <c r="C83" i="2"/>
  <c r="C85" i="2"/>
  <c r="F85" i="2"/>
  <c r="F95" i="2" s="1"/>
  <c r="C86" i="2"/>
  <c r="F86" i="2"/>
  <c r="D88" i="2"/>
  <c r="E88" i="2"/>
  <c r="F88" i="2"/>
  <c r="G88" i="2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G95" i="2"/>
  <c r="E102" i="2"/>
  <c r="E103" i="2"/>
  <c r="C104" i="2"/>
  <c r="E104" i="2"/>
  <c r="C105" i="2"/>
  <c r="E106" i="2"/>
  <c r="D107" i="2"/>
  <c r="F107" i="2"/>
  <c r="G107" i="2"/>
  <c r="E110" i="2"/>
  <c r="E111" i="2"/>
  <c r="C112" i="2"/>
  <c r="E112" i="2"/>
  <c r="C113" i="2"/>
  <c r="E113" i="2"/>
  <c r="E114" i="2"/>
  <c r="C116" i="2"/>
  <c r="C117" i="2"/>
  <c r="F120" i="2"/>
  <c r="G120" i="2"/>
  <c r="G137" i="2" s="1"/>
  <c r="C122" i="2"/>
  <c r="E122" i="2"/>
  <c r="D126" i="2"/>
  <c r="E126" i="2"/>
  <c r="F126" i="2"/>
  <c r="K411" i="1"/>
  <c r="K419" i="1"/>
  <c r="K426" i="1" s="1"/>
  <c r="G126" i="2" s="1"/>
  <c r="G136" i="2" s="1"/>
  <c r="K425" i="1"/>
  <c r="L255" i="1"/>
  <c r="C127" i="2"/>
  <c r="E127" i="2"/>
  <c r="L256" i="1"/>
  <c r="C128" i="2" s="1"/>
  <c r="L257" i="1"/>
  <c r="C129" i="2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C153" i="2"/>
  <c r="H490" i="1"/>
  <c r="D153" i="2" s="1"/>
  <c r="I490" i="1"/>
  <c r="E153" i="2"/>
  <c r="J490" i="1"/>
  <c r="F153" i="2" s="1"/>
  <c r="B154" i="2"/>
  <c r="C154" i="2"/>
  <c r="D154" i="2"/>
  <c r="G154" i="2" s="1"/>
  <c r="E154" i="2"/>
  <c r="F154" i="2"/>
  <c r="B155" i="2"/>
  <c r="C155" i="2"/>
  <c r="G155" i="2" s="1"/>
  <c r="D155" i="2"/>
  <c r="E155" i="2"/>
  <c r="F155" i="2"/>
  <c r="F493" i="1"/>
  <c r="B156" i="2" s="1"/>
  <c r="G156" i="2" s="1"/>
  <c r="G493" i="1"/>
  <c r="C156" i="2" s="1"/>
  <c r="H493" i="1"/>
  <c r="D156" i="2"/>
  <c r="I493" i="1"/>
  <c r="E156" i="2"/>
  <c r="J493" i="1"/>
  <c r="K493" i="1" s="1"/>
  <c r="F156" i="2"/>
  <c r="F19" i="1"/>
  <c r="G19" i="1"/>
  <c r="H19" i="1"/>
  <c r="I19" i="1"/>
  <c r="F33" i="1"/>
  <c r="G33" i="1"/>
  <c r="H33" i="1"/>
  <c r="I33" i="1"/>
  <c r="I44" i="1" s="1"/>
  <c r="H610" i="1" s="1"/>
  <c r="F43" i="1"/>
  <c r="F44" i="1" s="1"/>
  <c r="H607" i="1" s="1"/>
  <c r="G43" i="1"/>
  <c r="G44" i="1" s="1"/>
  <c r="H608" i="1" s="1"/>
  <c r="J608" i="1" s="1"/>
  <c r="H43" i="1"/>
  <c r="H44" i="1" s="1"/>
  <c r="H609" i="1" s="1"/>
  <c r="I43" i="1"/>
  <c r="F169" i="1"/>
  <c r="F184" i="1" s="1"/>
  <c r="I169" i="1"/>
  <c r="F175" i="1"/>
  <c r="G175" i="1"/>
  <c r="H175" i="1"/>
  <c r="I175" i="1"/>
  <c r="J175" i="1"/>
  <c r="F180" i="1"/>
  <c r="G180" i="1"/>
  <c r="H180" i="1"/>
  <c r="I180" i="1"/>
  <c r="G184" i="1"/>
  <c r="H184" i="1"/>
  <c r="I184" i="1"/>
  <c r="J184" i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I249" i="1"/>
  <c r="I263" i="1" s="1"/>
  <c r="J249" i="1"/>
  <c r="H638" i="1" s="1"/>
  <c r="F282" i="1"/>
  <c r="F330" i="1" s="1"/>
  <c r="F344" i="1" s="1"/>
  <c r="G282" i="1"/>
  <c r="G330" i="1" s="1"/>
  <c r="G344" i="1" s="1"/>
  <c r="H282" i="1"/>
  <c r="I282" i="1"/>
  <c r="I330" i="1" s="1"/>
  <c r="I344" i="1" s="1"/>
  <c r="F301" i="1"/>
  <c r="G301" i="1"/>
  <c r="H301" i="1"/>
  <c r="H330" i="1" s="1"/>
  <c r="H344" i="1" s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G400" i="1" s="1"/>
  <c r="H635" i="1" s="1"/>
  <c r="H393" i="1"/>
  <c r="I393" i="1"/>
  <c r="I400" i="1" s="1"/>
  <c r="F399" i="1"/>
  <c r="F400" i="1" s="1"/>
  <c r="H633" i="1" s="1"/>
  <c r="G399" i="1"/>
  <c r="H399" i="1"/>
  <c r="I399" i="1"/>
  <c r="H400" i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H426" i="1"/>
  <c r="J426" i="1"/>
  <c r="F438" i="1"/>
  <c r="G629" i="1" s="1"/>
  <c r="J629" i="1" s="1"/>
  <c r="G438" i="1"/>
  <c r="H438" i="1"/>
  <c r="F444" i="1"/>
  <c r="G444" i="1"/>
  <c r="G451" i="1" s="1"/>
  <c r="H630" i="1" s="1"/>
  <c r="H444" i="1"/>
  <c r="F450" i="1"/>
  <c r="G450" i="1"/>
  <c r="H450" i="1"/>
  <c r="H451" i="1" s="1"/>
  <c r="H631" i="1" s="1"/>
  <c r="F451" i="1"/>
  <c r="F460" i="1"/>
  <c r="G460" i="1"/>
  <c r="G466" i="1" s="1"/>
  <c r="H613" i="1" s="1"/>
  <c r="H460" i="1"/>
  <c r="I460" i="1"/>
  <c r="J460" i="1"/>
  <c r="J466" i="1" s="1"/>
  <c r="H616" i="1" s="1"/>
  <c r="F464" i="1"/>
  <c r="G464" i="1"/>
  <c r="H464" i="1"/>
  <c r="H466" i="1" s="1"/>
  <c r="H614" i="1" s="1"/>
  <c r="I464" i="1"/>
  <c r="I466" i="1" s="1"/>
  <c r="H615" i="1" s="1"/>
  <c r="J464" i="1"/>
  <c r="F466" i="1"/>
  <c r="H612" i="1" s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H514" i="1"/>
  <c r="I514" i="1"/>
  <c r="I535" i="1" s="1"/>
  <c r="J514" i="1"/>
  <c r="J535" i="1" s="1"/>
  <c r="K514" i="1"/>
  <c r="L514" i="1"/>
  <c r="F519" i="1"/>
  <c r="G519" i="1"/>
  <c r="H519" i="1"/>
  <c r="I519" i="1"/>
  <c r="J519" i="1"/>
  <c r="K519" i="1"/>
  <c r="F524" i="1"/>
  <c r="G524" i="1"/>
  <c r="G535" i="1" s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I534" i="1"/>
  <c r="J534" i="1"/>
  <c r="K534" i="1"/>
  <c r="K535" i="1"/>
  <c r="L547" i="1"/>
  <c r="L548" i="1"/>
  <c r="L549" i="1"/>
  <c r="F550" i="1"/>
  <c r="F561" i="1" s="1"/>
  <c r="G550" i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G561" i="1" s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5" i="1"/>
  <c r="K586" i="1"/>
  <c r="K587" i="1"/>
  <c r="H588" i="1"/>
  <c r="H639" i="1" s="1"/>
  <c r="I588" i="1"/>
  <c r="H640" i="1" s="1"/>
  <c r="J640" i="1" s="1"/>
  <c r="J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G608" i="1"/>
  <c r="G609" i="1"/>
  <c r="J609" i="1" s="1"/>
  <c r="G610" i="1"/>
  <c r="G613" i="1"/>
  <c r="G614" i="1"/>
  <c r="G615" i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0" i="1"/>
  <c r="J630" i="1" s="1"/>
  <c r="G631" i="1"/>
  <c r="G633" i="1"/>
  <c r="J633" i="1" s="1"/>
  <c r="G634" i="1"/>
  <c r="J634" i="1" s="1"/>
  <c r="H634" i="1"/>
  <c r="G635" i="1"/>
  <c r="J635" i="1" s="1"/>
  <c r="H637" i="1"/>
  <c r="G639" i="1"/>
  <c r="J639" i="1" s="1"/>
  <c r="G640" i="1"/>
  <c r="G641" i="1"/>
  <c r="J641" i="1" s="1"/>
  <c r="H641" i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C10" i="10" l="1"/>
  <c r="L203" i="1"/>
  <c r="C101" i="2"/>
  <c r="J615" i="1"/>
  <c r="D73" i="2"/>
  <c r="D96" i="2" s="1"/>
  <c r="L400" i="1"/>
  <c r="C130" i="2"/>
  <c r="C23" i="10"/>
  <c r="E105" i="2"/>
  <c r="J614" i="1"/>
  <c r="G32" i="2"/>
  <c r="I542" i="1"/>
  <c r="J613" i="1"/>
  <c r="L561" i="1"/>
  <c r="L426" i="1"/>
  <c r="G628" i="1" s="1"/>
  <c r="J628" i="1" s="1"/>
  <c r="F96" i="2"/>
  <c r="C38" i="10"/>
  <c r="C110" i="2"/>
  <c r="C15" i="10"/>
  <c r="D6" i="13"/>
  <c r="C6" i="13" s="1"/>
  <c r="J610" i="1"/>
  <c r="G19" i="2"/>
  <c r="G96" i="2"/>
  <c r="L330" i="1"/>
  <c r="D5" i="13"/>
  <c r="J638" i="1"/>
  <c r="H535" i="1"/>
  <c r="G104" i="1"/>
  <c r="C133" i="2"/>
  <c r="C136" i="2" s="1"/>
  <c r="C11" i="10"/>
  <c r="C102" i="2"/>
  <c r="G153" i="2"/>
  <c r="G636" i="1"/>
  <c r="G621" i="1"/>
  <c r="J621" i="1" s="1"/>
  <c r="F185" i="1"/>
  <c r="G617" i="1" s="1"/>
  <c r="J617" i="1" s="1"/>
  <c r="E8" i="13"/>
  <c r="G42" i="2"/>
  <c r="G43" i="2" s="1"/>
  <c r="K541" i="1"/>
  <c r="D31" i="13"/>
  <c r="C31" i="13" s="1"/>
  <c r="E107" i="2"/>
  <c r="J43" i="1"/>
  <c r="D43" i="2"/>
  <c r="J631" i="1"/>
  <c r="C43" i="2"/>
  <c r="H650" i="1"/>
  <c r="C115" i="2"/>
  <c r="C114" i="2"/>
  <c r="C18" i="10"/>
  <c r="G154" i="1"/>
  <c r="G161" i="1" s="1"/>
  <c r="C39" i="10" s="1"/>
  <c r="I450" i="1"/>
  <c r="I451" i="1" s="1"/>
  <c r="H632" i="1" s="1"/>
  <c r="H203" i="1"/>
  <c r="H249" i="1" s="1"/>
  <c r="H263" i="1" s="1"/>
  <c r="G652" i="1"/>
  <c r="I652" i="1" s="1"/>
  <c r="C17" i="10"/>
  <c r="C35" i="10"/>
  <c r="J33" i="1"/>
  <c r="C19" i="10"/>
  <c r="G612" i="1"/>
  <c r="J612" i="1" s="1"/>
  <c r="J263" i="1"/>
  <c r="E77" i="2"/>
  <c r="E83" i="2" s="1"/>
  <c r="E96" i="2" s="1"/>
  <c r="F542" i="1"/>
  <c r="L343" i="1"/>
  <c r="C16" i="10"/>
  <c r="J607" i="1"/>
  <c r="F203" i="1"/>
  <c r="F249" i="1" s="1"/>
  <c r="F263" i="1" s="1"/>
  <c r="C106" i="2"/>
  <c r="C25" i="10"/>
  <c r="F33" i="13"/>
  <c r="D119" i="2"/>
  <c r="D120" i="2" s="1"/>
  <c r="D137" i="2" s="1"/>
  <c r="E123" i="2"/>
  <c r="E136" i="2" s="1"/>
  <c r="L531" i="1"/>
  <c r="H651" i="1"/>
  <c r="C13" i="10"/>
  <c r="C12" i="10"/>
  <c r="L604" i="1"/>
  <c r="C111" i="2"/>
  <c r="F651" i="1"/>
  <c r="L354" i="1"/>
  <c r="I438" i="1"/>
  <c r="G632" i="1" s="1"/>
  <c r="E116" i="2"/>
  <c r="E120" i="2" s="1"/>
  <c r="G542" i="1"/>
  <c r="L374" i="1"/>
  <c r="G626" i="1" s="1"/>
  <c r="J626" i="1" s="1"/>
  <c r="F122" i="2"/>
  <c r="F136" i="2" s="1"/>
  <c r="F137" i="2" s="1"/>
  <c r="H25" i="13"/>
  <c r="C36" i="10" l="1"/>
  <c r="C41" i="10" s="1"/>
  <c r="I651" i="1"/>
  <c r="G616" i="1"/>
  <c r="J44" i="1"/>
  <c r="H611" i="1" s="1"/>
  <c r="J611" i="1" s="1"/>
  <c r="J632" i="1"/>
  <c r="C120" i="2"/>
  <c r="E137" i="2"/>
  <c r="C27" i="10"/>
  <c r="C28" i="10" s="1"/>
  <c r="G625" i="1"/>
  <c r="J625" i="1" s="1"/>
  <c r="G185" i="1"/>
  <c r="G618" i="1" s="1"/>
  <c r="J618" i="1" s="1"/>
  <c r="G654" i="1"/>
  <c r="L344" i="1"/>
  <c r="G623" i="1" s="1"/>
  <c r="J623" i="1" s="1"/>
  <c r="G627" i="1"/>
  <c r="J627" i="1" s="1"/>
  <c r="H636" i="1"/>
  <c r="H33" i="13"/>
  <c r="C25" i="13"/>
  <c r="H654" i="1"/>
  <c r="C5" i="13"/>
  <c r="D33" i="13"/>
  <c r="D36" i="13" s="1"/>
  <c r="C107" i="2"/>
  <c r="C8" i="13"/>
  <c r="E33" i="13"/>
  <c r="D35" i="13" s="1"/>
  <c r="J636" i="1"/>
  <c r="L249" i="1"/>
  <c r="L263" i="1" s="1"/>
  <c r="G622" i="1" s="1"/>
  <c r="J622" i="1" s="1"/>
  <c r="F650" i="1"/>
  <c r="L534" i="1"/>
  <c r="L535" i="1" s="1"/>
  <c r="J539" i="1"/>
  <c r="C30" i="10" l="1"/>
  <c r="D22" i="10"/>
  <c r="D20" i="10"/>
  <c r="D26" i="10"/>
  <c r="D24" i="10"/>
  <c r="D21" i="10"/>
  <c r="D25" i="10"/>
  <c r="D19" i="10"/>
  <c r="D15" i="10"/>
  <c r="D13" i="10"/>
  <c r="D18" i="10"/>
  <c r="D16" i="10"/>
  <c r="D17" i="10"/>
  <c r="D10" i="10"/>
  <c r="D11" i="10"/>
  <c r="D12" i="10"/>
  <c r="D23" i="10"/>
  <c r="D40" i="10"/>
  <c r="D37" i="10"/>
  <c r="D39" i="10"/>
  <c r="D38" i="10"/>
  <c r="D35" i="10"/>
  <c r="D41" i="10" s="1"/>
  <c r="C137" i="2"/>
  <c r="G662" i="1"/>
  <c r="G657" i="1"/>
  <c r="H662" i="1"/>
  <c r="H657" i="1"/>
  <c r="J616" i="1"/>
  <c r="H646" i="1"/>
  <c r="D27" i="10"/>
  <c r="I650" i="1"/>
  <c r="I654" i="1" s="1"/>
  <c r="F654" i="1"/>
  <c r="J542" i="1"/>
  <c r="K539" i="1"/>
  <c r="K542" i="1" s="1"/>
  <c r="D36" i="10"/>
  <c r="F662" i="1" l="1"/>
  <c r="C4" i="10" s="1"/>
  <c r="F657" i="1"/>
  <c r="I662" i="1"/>
  <c r="C7" i="10" s="1"/>
  <c r="I657" i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CF6E4E6-0F61-4515-AE49-8422C574B53B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238AB20-2D6A-4A8D-80F1-E36B94FE76C0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72781F9-0FC1-4920-B689-425556BA887A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12A7072-704E-4D51-BE6C-E60783A2C306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8DD72479-38F2-4BB6-ACE4-7D3F5C6609EE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9B4DBAB-4BC4-4A11-916C-A975F4101F6B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6C7CEBA5-9C52-4E61-9CAD-78295362E42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FCA5AB3-48BB-4BD9-B0F7-A9C98C41A1FA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71440B0-99DC-4FCE-8288-BFF845A3E32B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E036E874-DD38-4CE2-97B4-9C3B6D4B6CB1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17821D43-1153-4029-95E4-2DB3220CF0E3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79E4B4F-D7B2-495D-BA7B-F37709533F1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<sst xmlns="http://schemas.openxmlformats.org/spreadsheetml/2006/main" count="3891" uniqueCount="928">
  <si>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</si>
  <si>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</si>
  <si>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</si>
  <si>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</si>
  <si>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</si>
  <si>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</si>
  <si>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</si>
  <si>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</si>
  <si>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</si>
  <si>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</si>
  <si>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</si>
  <si>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</si>
  <si>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</si>
  <si>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</si>
  <si>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</si>
  <si>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</si>
  <si>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</si>
  <si>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</si>
  <si>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</si>
  <si>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</si>
  <si>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</si>
  <si>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</si>
  <si>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</si>
  <si>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</si>
  <si>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</si>
  <si>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</si>
  <si>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</si>
  <si>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</si>
  <si>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</si>
  <si>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</si>
  <si>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</si>
  <si>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</si>
  <si>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</si>
  <si>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</si>
  <si>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</si>
  <si>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</si>
  <si>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</si>
  <si>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</si>
  <si>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</si>
  <si>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</si>
  <si>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</si>
  <si>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</si>
  <si>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</si>
  <si>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</si>
  <si>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</si>
  <si>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</si>
  <si>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</si>
  <si>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</si>
  <si>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</si>
  <si>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</si>
  <si>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</si>
  <si>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</si>
  <si>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</si>
  <si>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</si>
  <si>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</si>
  <si>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</si>
  <si>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</si>
  <si>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</si>
  <si>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</si>
  <si>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</si>
  <si>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</si>
  <si>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</si>
  <si>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</si>
  <si>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</si>
  <si>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</si>
  <si>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</si>
  <si>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</si>
  <si>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</si>
  <si>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</si>
  <si>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</si>
  <si>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</si>
  <si>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</si>
  <si>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</si>
  <si>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</si>
  <si>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</si>
  <si>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</si>
  <si>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</si>
  <si>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</si>
  <si>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</si>
  <si>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</si>
  <si>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</si>
  <si>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</si>
  <si>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</si>
  <si>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</si>
  <si>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</si>
  <si>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</si>
  <si>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</si>
  <si>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</si>
  <si>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</si>
  <si>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</si>
  <si>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</si>
  <si>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</si>
  <si>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</si>
  <si>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</si>
  <si>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</si>
  <si>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</si>
  <si>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</si>
  <si>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</si>
  <si>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</si>
  <si>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</si>
  <si>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</si>
  <si>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</si>
  <si>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</si>
  <si>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</si>
  <si>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</si>
  <si>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</si>
  <si>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</si>
  <si>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</si>
  <si>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</si>
  <si>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</si>
  <si>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</si>
  <si>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</si>
  <si>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</si>
  <si>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</si>
  <si>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</si>
  <si>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</si>
  <si>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</si>
  <si>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</si>
  <si>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</si>
  <si>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</si>
  <si>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</si>
  <si>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</si>
  <si>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</si>
  <si>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</si>
  <si>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</si>
  <si>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</si>
  <si>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</si>
  <si>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</si>
  <si>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</si>
  <si>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</si>
  <si>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</si>
  <si>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</si>
  <si>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</si>
  <si>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</si>
  <si>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</si>
  <si>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</si>
  <si>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</si>
  <si>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</si>
  <si>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</si>
  <si>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</si>
  <si>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</si>
  <si>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</si>
  <si>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</si>
  <si>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</si>
  <si>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</si>
  <si>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</si>
  <si>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</si>
  <si>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</si>
  <si>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</si>
  <si>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</si>
  <si>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</si>
  <si>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</si>
  <si>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</si>
  <si>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</si>
  <si>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</si>
  <si>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</si>
  <si>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</si>
  <si>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</si>
  <si>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</si>
  <si>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</si>
  <si>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</si>
  <si>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</si>
  <si>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</si>
  <si>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</si>
  <si>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</si>
  <si>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</si>
  <si>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</si>
  <si>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</si>
  <si>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</si>
  <si>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</si>
  <si>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</si>
  <si>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</si>
  <si>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</si>
  <si>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</si>
  <si>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</si>
  <si>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</si>
  <si>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</si>
  <si>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</si>
  <si>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</si>
  <si>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</si>
  <si>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</si>
  <si>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</si>
  <si>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</si>
  <si>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</si>
  <si>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</si>
  <si>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</si>
  <si>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</si>
  <si>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</si>
  <si>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</si>
  <si>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</si>
  <si>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</si>
  <si>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</si>
  <si>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</si>
  <si>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</si>
  <si>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</si>
  <si>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</si>
  <si>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</si>
  <si>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</si>
  <si>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</si>
  <si>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</si>
  <si>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</si>
  <si>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</si>
  <si>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</si>
  <si>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</si>
  <si>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</si>
  <si>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</si>
  <si>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</si>
  <si>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</si>
  <si>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</si>
  <si>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</si>
  <si>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</si>
  <si>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</si>
  <si>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</si>
  <si>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</si>
  <si>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</si>
  <si>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</si>
  <si>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</si>
  <si>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</si>
  <si>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</si>
  <si>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</si>
  <si>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</si>
  <si>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</si>
  <si>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</si>
  <si>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</si>
  <si>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</si>
  <si>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</si>
  <si>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</si>
  <si>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</si>
  <si>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</si>
  <si>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</si>
  <si>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</si>
  <si>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</si>
  <si>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</si>
  <si>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</si>
  <si>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</si>
  <si>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</si>
  <si>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</si>
  <si>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</si>
  <si>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</si>
  <si>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</si>
  <si>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</si>
  <si>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</si>
  <si>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</si>
  <si>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</si>
  <si>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</si>
  <si>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</si>
  <si>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</si>
  <si>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</si>
  <si>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</si>
  <si>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</si>
  <si>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</si>
  <si>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</si>
  <si>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</si>
  <si>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</si>
  <si>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</si>
  <si>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</si>
  <si>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</si>
  <si>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</si>
  <si>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</si>
  <si>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</si>
  <si>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</si>
  <si>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</si>
  <si>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</si>
  <si>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</si>
  <si>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</si>
  <si>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</si>
  <si>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</si>
  <si>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</si>
  <si>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</si>
  <si>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</si>
  <si>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</si>
  <si>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</si>
  <si>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</si>
  <si>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</si>
  <si>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</si>
  <si>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</si>
  <si>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</si>
  <si>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</si>
  <si>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</si>
  <si>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</si>
  <si>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</si>
  <si>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</si>
  <si>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</si>
  <si>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</si>
  <si>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</si>
  <si>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</si>
  <si>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</si>
  <si>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</si>
  <si>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</si>
  <si>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</si>
  <si>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</si>
  <si>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</si>
  <si>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</si>
  <si>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</si>
  <si>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</si>
  <si>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</si>
  <si>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</si>
  <si>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</si>
  <si>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</si>
  <si>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</si>
  <si>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</si>
  <si>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</si>
  <si>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</si>
  <si>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</si>
  <si>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</si>
  <si>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</si>
  <si>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</si>
  <si>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</si>
  <si>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</si>
  <si>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</si>
  <si>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</si>
  <si>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</si>
  <si>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</si>
  <si>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</si>
  <si>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</si>
  <si>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</si>
  <si>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</si>
  <si>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</si>
  <si>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</si>
  <si>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</si>
  <si>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</si>
  <si>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</si>
  <si>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</si>
  <si>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</si>
  <si>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</si>
  <si>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</si>
  <si>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</si>
  <si>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</si>
  <si>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</si>
  <si>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</si>
  <si>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</si>
  <si>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</si>
  <si>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</si>
  <si>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</si>
  <si>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</si>
  <si>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</si>
  <si>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</si>
  <si>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</si>
  <si>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</si>
  <si>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</si>
  <si>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</si>
  <si>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</si>
  <si>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</si>
  <si>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</si>
  <si>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</si>
  <si>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</si>
  <si>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</si>
  <si>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</si>
  <si>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</si>
  <si>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</si>
  <si>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</si>
  <si>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</si>
  <si>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</si>
  <si>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</si>
  <si>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</si>
  <si>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</si>
  <si>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</si>
  <si>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</si>
  <si>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</si>
  <si>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</si>
  <si>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</si>
  <si>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</si>
  <si>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</si>
  <si>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</si>
  <si>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</si>
  <si>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</si>
  <si>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</si>
  <si>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</si>
  <si>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</si>
  <si>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</si>
  <si>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</si>
  <si>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</si>
  <si>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</si>
  <si>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</si>
  <si>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</si>
  <si>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</si>
  <si>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</si>
  <si>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</si>
  <si>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</si>
  <si>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</si>
  <si>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</si>
  <si>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</si>
  <si>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</si>
  <si>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</si>
  <si>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</si>
  <si>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</si>
  <si>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</si>
  <si>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</si>
  <si>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</si>
  <si>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</si>
  <si>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</si>
  <si>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</si>
  <si>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</si>
  <si>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</si>
  <si>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</si>
  <si>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</si>
  <si>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</si>
  <si>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</si>
  <si>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</si>
  <si>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</si>
  <si>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</si>
  <si>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</si>
  <si>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</si>
  <si>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</si>
  <si>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</si>
  <si>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</si>
  <si>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</si>
  <si>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</si>
  <si>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</si>
  <si>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</si>
  <si>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</si>
  <si>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</si>
  <si>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</si>
  <si>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</si>
  <si>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</si>
  <si>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</si>
  <si>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</si>
  <si>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</si>
  <si>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</si>
  <si>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</si>
  <si>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</si>
  <si>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</si>
  <si>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</si>
  <si>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</si>
  <si>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</si>
  <si>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</si>
  <si>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</si>
  <si>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</si>
  <si>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</si>
  <si>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</si>
  <si>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</si>
  <si>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</si>
  <si>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</si>
  <si>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</si>
  <si>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</si>
  <si>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</si>
  <si>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</si>
  <si>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</si>
  <si>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</si>
  <si>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</si>
  <si>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</si>
  <si>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</si>
  <si>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</si>
  <si>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</si>
  <si>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</si>
  <si>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</si>
  <si>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</si>
  <si>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</si>
  <si>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</si>
  <si>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</si>
  <si>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</si>
  <si>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</si>
  <si>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</si>
  <si>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</si>
  <si>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</si>
  <si>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</si>
  <si>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</si>
  <si>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</si>
  <si>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</si>
  <si>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</si>
  <si>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</si>
  <si>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</si>
  <si>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</si>
  <si>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</si>
  <si>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</si>
  <si>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</si>
  <si>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</si>
  <si>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</si>
  <si>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</si>
  <si>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</si>
  <si>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</si>
  <si>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</si>
  <si>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</si>
  <si>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</si>
  <si>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</si>
  <si>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</si>
  <si>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</si>
  <si>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</si>
  <si>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</si>
  <si>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</si>
  <si>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</si>
  <si>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</si>
  <si>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</si>
  <si>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</si>
  <si>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</si>
  <si>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</si>
  <si>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</si>
  <si>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</si>
  <si>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</si>
  <si>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</si>
  <si>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</si>
  <si>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</si>
  <si>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</si>
  <si>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</si>
  <si>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</si>
  <si>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</si>
  <si>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</si>
  <si>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</si>
  <si>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</si>
  <si>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</si>
  <si>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</si>
  <si>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</si>
  <si>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</si>
  <si>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</si>
  <si>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</si>
  <si>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</si>
  <si>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</si>
  <si>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</si>
  <si>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</si>
  <si>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</si>
  <si>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</si>
  <si>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</si>
  <si>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</si>
  <si>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</si>
  <si>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</si>
  <si>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</si>
  <si>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</si>
  <si>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</si>
  <si>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</si>
  <si>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</si>
  <si>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</si>
  <si>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</si>
  <si>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</si>
  <si>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</si>
  <si>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</si>
  <si>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</si>
  <si>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</si>
  <si>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</si>
  <si>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</si>
  <si>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</si>
  <si>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</si>
  <si>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</si>
  <si>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</si>
  <si>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</si>
  <si>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</si>
  <si>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</si>
  <si>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</si>
  <si>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</si>
  <si>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</si>
  <si>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</si>
  <si>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</si>
  <si>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</si>
  <si>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</si>
  <si>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</si>
  <si>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</si>
  <si>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</si>
  <si>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</si>
  <si>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</si>
  <si>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</si>
  <si>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</si>
  <si>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</si>
  <si>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</si>
  <si>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</si>
  <si>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</si>
  <si>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</si>
  <si>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</si>
  <si>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</si>
  <si>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</si>
  <si>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</si>
  <si>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</si>
  <si>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</si>
  <si>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</si>
  <si>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</si>
  <si>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</si>
  <si>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</si>
  <si>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</si>
  <si>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</si>
  <si>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</si>
  <si>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</si>
  <si>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</si>
  <si>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</si>
  <si>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</si>
  <si>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</si>
  <si>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</si>
  <si>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</si>
  <si>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</si>
  <si>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</si>
  <si>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</si>
  <si>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</si>
  <si>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</si>
  <si>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</si>
  <si>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</si>
  <si>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</si>
  <si>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</si>
  <si>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</si>
  <si>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</si>
  <si>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</si>
  <si>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</si>
  <si>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</si>
  <si>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</si>
  <si>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</si>
  <si>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</si>
  <si>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</si>
  <si>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</si>
  <si>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</si>
  <si>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</si>
  <si>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</si>
  <si>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</si>
  <si>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</si>
  <si>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</si>
  <si>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</si>
  <si>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</si>
  <si>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</si>
  <si>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</si>
  <si>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</si>
  <si>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</si>
  <si>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</si>
  <si>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</si>
  <si>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</si>
  <si>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</si>
  <si>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</si>
  <si>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</si>
  <si>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</si>
  <si>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</si>
  <si>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</si>
  <si>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</si>
  <si>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</si>
  <si>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</si>
  <si>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</si>
  <si>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</si>
  <si>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</si>
  <si>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</si>
  <si>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</si>
  <si>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</si>
  <si>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</si>
  <si>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</si>
  <si>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</si>
  <si>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</si>
  <si>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</si>
  <si>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</si>
  <si>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</si>
  <si>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</si>
  <si>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</si>
  <si>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</si>
  <si>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</si>
  <si>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</si>
  <si>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</si>
  <si>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</si>
  <si>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</si>
  <si>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</si>
  <si>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</si>
  <si>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</si>
  <si>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</si>
  <si>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</si>
  <si>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</si>
  <si>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</si>
  <si>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</si>
  <si>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</si>
  <si>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</si>
  <si>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</si>
  <si>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</si>
  <si>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</si>
  <si>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</si>
  <si>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</si>
  <si>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</si>
  <si>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</si>
  <si>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</si>
  <si>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</si>
  <si>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</si>
  <si>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</si>
  <si>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</si>
  <si>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</si>
  <si>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</si>
  <si>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</si>
  <si>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</si>
  <si>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</si>
  <si>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</si>
  <si>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</si>
  <si>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</si>
  <si>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</si>
  <si>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</si>
  <si>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</si>
  <si>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</si>
  <si>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</si>
  <si>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</si>
  <si>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</si>
  <si>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</si>
  <si>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</si>
  <si>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</si>
  <si>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</si>
  <si>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</si>
  <si>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</si>
  <si>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</si>
  <si>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</si>
  <si>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</si>
  <si>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</si>
  <si>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</si>
  <si>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</si>
  <si>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</si>
  <si>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</si>
  <si>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</si>
  <si>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</si>
  <si>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</si>
  <si>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</si>
  <si>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</si>
  <si>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</si>
  <si>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</si>
  <si>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</si>
  <si>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</si>
  <si>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</si>
  <si>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</si>
  <si>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</si>
  <si>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</si>
  <si>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</si>
  <si>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</si>
  <si>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</si>
  <si>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</si>
  <si>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</si>
  <si>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</si>
  <si>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</si>
  <si>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</si>
  <si>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</si>
  <si>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</si>
  <si>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</si>
  <si>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</si>
  <si>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</si>
  <si>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</si>
  <si>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</si>
  <si>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</si>
  <si>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</si>
  <si>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</si>
  <si>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</si>
  <si>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</si>
  <si>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</si>
  <si>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</si>
  <si>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</si>
  <si>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</si>
  <si>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</si>
  <si>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</si>
  <si>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</si>
  <si>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</si>
  <si>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</si>
  <si>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</si>
  <si>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</si>
  <si>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</si>
  <si>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</si>
  <si>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</si>
  <si>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</si>
  <si>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</si>
  <si>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</si>
  <si>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</si>
  <si>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</si>
  <si>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</si>
  <si>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</si>
  <si>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</si>
  <si>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</si>
  <si>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</si>
  <si>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</si>
  <si>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</si>
  <si>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</si>
  <si>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</si>
  <si>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</si>
  <si>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</si>
  <si>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</si>
  <si>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</si>
  <si>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</si>
  <si>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</si>
  <si>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</si>
  <si>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</si>
  <si>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</si>
  <si>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</si>
  <si>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</si>
  <si>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</si>
  <si>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</si>
  <si>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</si>
  <si>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</si>
  <si>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</si>
  <si>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</si>
  <si>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</si>
  <si>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</si>
  <si>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</si>
  <si>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</si>
  <si>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</si>
  <si>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</si>
  <si>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</si>
  <si>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</si>
  <si>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</si>
  <si>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</si>
  <si>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</si>
  <si>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</si>
  <si>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</si>
  <si>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</si>
  <si>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</si>
  <si>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</si>
  <si>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</si>
  <si>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</si>
  <si>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</si>
  <si>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</si>
  <si>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</si>
  <si>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</si>
  <si>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</si>
  <si>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</si>
  <si>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</si>
  <si>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</si>
  <si>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</si>
  <si>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</si>
  <si>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</si>
  <si>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</si>
  <si>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</si>
  <si>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</si>
  <si>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</si>
  <si>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</si>
  <si>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</si>
  <si>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</si>
  <si>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</si>
  <si>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</si>
  <si>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</si>
  <si>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</si>
  <si>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</si>
  <si>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</si>
  <si>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</si>
  <si>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</si>
  <si>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</si>
  <si>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</si>
  <si>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</si>
  <si>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</si>
  <si>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</si>
  <si>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</si>
  <si>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</si>
  <si>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</si>
  <si>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</si>
  <si>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</si>
  <si>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</si>
  <si>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</si>
  <si>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</si>
  <si>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</si>
  <si>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</si>
  <si>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</si>
  <si>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</si>
  <si>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</si>
  <si>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</si>
  <si>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</si>
  <si>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</si>
  <si>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</si>
  <si>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</si>
  <si>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</si>
  <si>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</si>
  <si>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</si>
  <si>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</si>
  <si>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</si>
  <si>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</si>
  <si>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</si>
  <si>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</si>
  <si>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</si>
  <si>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</si>
  <si>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</si>
  <si>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</si>
  <si>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</si>
  <si>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</si>
  <si>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</si>
  <si>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</si>
  <si>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</si>
  <si>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</si>
  <si>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</si>
  <si>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</si>
  <si>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</si>
  <si>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</si>
  <si>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</si>
  <si>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</si>
  <si>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</si>
  <si>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</si>
  <si>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</si>
  <si>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</si>
  <si>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</si>
  <si>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</si>
  <si>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</si>
  <si>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</si>
  <si>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</si>
  <si>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</si>
  <si>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</si>
  <si>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</si>
  <si>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</si>
  <si>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</si>
  <si>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</si>
  <si>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</si>
  <si>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</si>
  <si>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</si>
  <si>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</si>
  <si>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</si>
  <si>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</si>
  <si>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</si>
  <si>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</si>
  <si>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</si>
  <si>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</si>
  <si>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</si>
  <si>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</si>
  <si>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</si>
  <si>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</si>
  <si>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</si>
  <si>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</si>
  <si>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</si>
  <si>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</si>
  <si>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</si>
  <si>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</si>
  <si>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Monroe School District-SAU 77</t>
  </si>
  <si>
    <t>07-01-2009</t>
  </si>
  <si>
    <t>07-01-2014</t>
  </si>
  <si>
    <t>EQUITABLE ED. AID CORRECTED.</t>
  </si>
  <si>
    <t>CAT AID CORRECTED.'</t>
  </si>
  <si>
    <t>Deficit appropriation. The othe part $64718 is in pg 6 line 8 included in the $110191. moved it/C4</t>
  </si>
  <si>
    <t>amortization $36,000 as on page 10</t>
  </si>
  <si>
    <t>transportation corrected</t>
  </si>
  <si>
    <t>vocational corrected</t>
  </si>
  <si>
    <t>indirect cost  done.</t>
  </si>
  <si>
    <t>14-10 No special Revenue fund to general fund</t>
  </si>
  <si>
    <t>6-12 trurst fund transfer corrected</t>
  </si>
  <si>
    <t>interest income   $424.01</t>
  </si>
  <si>
    <t>misc income $ 7598.43</t>
  </si>
  <si>
    <t>loan Roof projects  auditor had us book as income $180.000</t>
  </si>
  <si>
    <t xml:space="preserve">auditor had us book as incomeand expencse Money paid by Town of Monroe $140837.88 </t>
  </si>
  <si>
    <t>=328860.32</t>
  </si>
  <si>
    <t>This is from trust fund Tuition. $27,000.</t>
  </si>
  <si>
    <t>*************************************************************************************************************************************</t>
  </si>
  <si>
    <t>$10,000 received from Town of Monroe for Tution Trust fund</t>
  </si>
  <si>
    <t>$64718 recived from Town of Monroe for 08-09 Deficit</t>
  </si>
  <si>
    <t>CURRENT APPROPRIATION $34648. FOOD SERVICE IN Col. 2 , $11255. paid in April 2009 for Deficit 07-08</t>
  </si>
  <si>
    <t xml:space="preserve">    see 2-1-5   $ 93191.</t>
  </si>
  <si>
    <t xml:space="preserve">$18473.00 received from town of Monroe for Labor agreement </t>
  </si>
  <si>
    <t>$18473 labor agreement</t>
  </si>
  <si>
    <t>$10000 to tuition fund</t>
  </si>
  <si>
    <t>$34648 Food Service</t>
  </si>
  <si>
    <t>$1727203 Gneral fund inludes loan payment of $40,000.</t>
  </si>
  <si>
    <t>$11255 deficit paid april 2009</t>
  </si>
  <si>
    <t>$1,801,579.   Total</t>
  </si>
  <si>
    <t xml:space="preserve">$18,473 in two times. Have corrected. </t>
  </si>
  <si>
    <t>Sept 23,2010</t>
  </si>
  <si>
    <t>Sept 22,2010</t>
  </si>
  <si>
    <t>$64817 in two time have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</si>
</sst>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9400-A009-46AA-96E8-793F7A5DDA88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/>
      <c r="C2" s="21"/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-53119.17+100.05+676.13+43866.32</f>
        <v>-8476.6699999999983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24915.279999999999</v>
      </c>
      <c r="G12" s="18">
        <v>17180.150000000001</v>
      </c>
      <c r="H12" s="18">
        <v>145.71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439.2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16877.810000000001</v>
      </c>
      <c r="G19" s="41">
        <f>SUM(G9:G18)</f>
        <v>17180.150000000001</v>
      </c>
      <c r="H19" s="41">
        <f>SUM(H9:H18)</f>
        <v>145.71</v>
      </c>
      <c r="I19" s="41">
        <f>SUM(I9:I18)</f>
        <v>0</v>
      </c>
      <c r="J19" s="41">
        <f>SUM(J9:J18)</f>
        <v>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6691.46+43866.32</f>
        <v>50557.78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9162.1200000000008</v>
      </c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59719.9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17180.150000000001</v>
      </c>
      <c r="H41" s="18">
        <v>145.71</v>
      </c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-42842.09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-42842.09</v>
      </c>
      <c r="G43" s="41">
        <f>SUM(G35:G42)</f>
        <v>17180.150000000001</v>
      </c>
      <c r="H43" s="41">
        <f>SUM(H35:H42)</f>
        <v>145.71</v>
      </c>
      <c r="I43" s="41">
        <f>SUM(I35:I42)</f>
        <v>0</v>
      </c>
      <c r="J43" s="41">
        <f>SUM(J35:J42)</f>
        <v>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16877.810000000005</v>
      </c>
      <c r="G44" s="41">
        <f>G43+G33</f>
        <v>17180.150000000001</v>
      </c>
      <c r="H44" s="41">
        <f>H43+H33</f>
        <v>145.71</v>
      </c>
      <c r="I44" s="41">
        <f>I43+I33</f>
        <v>0</v>
      </c>
      <c r="J44" s="41">
        <f>J43+J33</f>
        <v>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1687202.78+40000+18473</f>
        <v>1745675.78</v>
      </c>
      <c r="G49" s="18">
        <v>34648</v>
      </c>
      <c r="H49" s="18"/>
      <c r="I49" s="18"/>
      <c r="J49" s="18">
        <f>10000</f>
        <v>10000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f>55146+64718</f>
        <v>119864</v>
      </c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1865539.78</v>
      </c>
      <c r="G52" s="41">
        <f>SUM(G49:G51)</f>
        <v>34648</v>
      </c>
      <c r="H52" s="41">
        <f>SUM(H49:H51)</f>
        <v>0</v>
      </c>
      <c r="I52" s="41">
        <f>SUM(I49:I51)</f>
        <v>0</v>
      </c>
      <c r="J52" s="41">
        <f>SUM(J49:J51)</f>
        <v>10000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424.01</v>
      </c>
      <c r="G88" s="18"/>
      <c r="H88" s="18"/>
      <c r="I88" s="18"/>
      <c r="J88" s="18"/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17441+655.71</f>
        <v>18096.71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148436.31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148860.32</v>
      </c>
      <c r="G103" s="41">
        <f>SUM(G88:G102)</f>
        <v>18096.71</v>
      </c>
      <c r="H103" s="41">
        <f>SUM(H88:H102)</f>
        <v>0</v>
      </c>
      <c r="I103" s="41">
        <f>SUM(I88:I102)</f>
        <v>0</v>
      </c>
      <c r="J103" s="41">
        <f>SUM(J88:J102)</f>
        <v>0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2014400.1</v>
      </c>
      <c r="G104" s="41">
        <f>G52+G103</f>
        <v>52744.71</v>
      </c>
      <c r="H104" s="41">
        <f>H52+H71+H86+H103</f>
        <v>0</v>
      </c>
      <c r="I104" s="41">
        <f>I52+I103</f>
        <v>0</v>
      </c>
      <c r="J104" s="41">
        <f>J52+J103</f>
        <v>10000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270961-75132.8</f>
        <v>195828.2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191715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75132.800000000003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462676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79017.69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314.3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79017.69</v>
      </c>
      <c r="G128" s="41">
        <f>SUM(G115:G127)</f>
        <v>314.3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541693.68999999994</v>
      </c>
      <c r="G132" s="41">
        <f>G113+SUM(G128:G129)</f>
        <v>314.3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50841.5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15356.63+3600.8</f>
        <v>18957.43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18957.43</v>
      </c>
      <c r="H154" s="41">
        <f>SUM(H142:H153)</f>
        <v>50841.5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184.61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184.61</v>
      </c>
      <c r="G161" s="41">
        <f>G139+G154+SUM(G155:G160)</f>
        <v>18957.43</v>
      </c>
      <c r="H161" s="41">
        <f>H139+H154+SUM(H155:H160)</f>
        <v>50841.5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180000</v>
      </c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180000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27000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27000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207000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2763278.4</v>
      </c>
      <c r="G185" s="47">
        <f>G104+G132+G161+G184</f>
        <v>72016.44</v>
      </c>
      <c r="H185" s="47">
        <f>H104+H132+H161+H184</f>
        <v>50841.5</v>
      </c>
      <c r="I185" s="47">
        <f>I104+I132+I161+I184</f>
        <v>0</v>
      </c>
      <c r="J185" s="47">
        <f>J104+J132+J184</f>
        <v>10000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425947.13</v>
      </c>
      <c r="G189" s="18">
        <v>160054.75</v>
      </c>
      <c r="H189" s="18">
        <f>60417.93</f>
        <v>60417.93</v>
      </c>
      <c r="I189" s="18">
        <v>24348.92</v>
      </c>
      <c r="J189" s="18">
        <v>1097.73</v>
      </c>
      <c r="K189" s="18">
        <v>603</v>
      </c>
      <c r="L189" s="19">
        <f>SUM(F189:K189)</f>
        <v>672469.46000000008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111887.37</v>
      </c>
      <c r="G190" s="18">
        <v>87820.29</v>
      </c>
      <c r="H190" s="18">
        <f>67134.44+269.85+12199.23-3770.23</f>
        <v>75833.290000000008</v>
      </c>
      <c r="I190" s="18">
        <v>1608.01</v>
      </c>
      <c r="J190" s="18">
        <v>5256.96</v>
      </c>
      <c r="K190" s="18"/>
      <c r="L190" s="19">
        <f>SUM(F190:K190)</f>
        <v>282405.92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3045</v>
      </c>
      <c r="G192" s="18">
        <v>299.44</v>
      </c>
      <c r="H192" s="18">
        <v>1020.1</v>
      </c>
      <c r="I192" s="18">
        <v>1659.37</v>
      </c>
      <c r="J192" s="18">
        <v>342</v>
      </c>
      <c r="K192" s="18">
        <v>480</v>
      </c>
      <c r="L192" s="19">
        <f>SUM(F192:K192)</f>
        <v>6845.91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6434.95</f>
        <v>6434.95</v>
      </c>
      <c r="G194" s="18">
        <f>36.74+629.22</f>
        <v>665.96</v>
      </c>
      <c r="H194" s="18">
        <f>10483.56+36497.48+17374+1124+2783.9</f>
        <v>68262.94</v>
      </c>
      <c r="I194" s="18">
        <f>275.29+578.82+420.88</f>
        <v>1274.9900000000002</v>
      </c>
      <c r="J194" s="18"/>
      <c r="K194" s="18">
        <v>1990.41</v>
      </c>
      <c r="L194" s="19">
        <f t="shared" ref="L194:L200" si="0">SUM(F194:K194)</f>
        <v>78629.250000000015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33239.93</v>
      </c>
      <c r="G195" s="18">
        <f>25048.14+3685.43</f>
        <v>28733.57</v>
      </c>
      <c r="H195" s="18">
        <v>12390.73</v>
      </c>
      <c r="I195" s="18">
        <v>5538.32</v>
      </c>
      <c r="J195" s="18"/>
      <c r="K195" s="18"/>
      <c r="L195" s="19">
        <f t="shared" si="0"/>
        <v>79902.549999999988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3250+1020+1854+310+170852.91-63673.6</f>
        <v>113613.31</v>
      </c>
      <c r="G196" s="18">
        <f>248.65+70.6+148.7+23.72+76093.3-42383.4</f>
        <v>34201.57</v>
      </c>
      <c r="H196" s="18">
        <f>9800+9995.03+1376.67+3441.84+584+1326.96+10686.89</f>
        <v>37211.39</v>
      </c>
      <c r="I196" s="18">
        <f>57.5+10770.76</f>
        <v>10828.26</v>
      </c>
      <c r="J196" s="18">
        <v>2181.35</v>
      </c>
      <c r="K196" s="18">
        <f>2344.9+4444.07</f>
        <v>6788.9699999999993</v>
      </c>
      <c r="L196" s="19">
        <f t="shared" si="0"/>
        <v>204824.85000000003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63673.599999999999</v>
      </c>
      <c r="G197" s="18">
        <v>42383.4</v>
      </c>
      <c r="H197" s="18"/>
      <c r="I197" s="18">
        <v>553.14</v>
      </c>
      <c r="J197" s="18"/>
      <c r="K197" s="18"/>
      <c r="L197" s="19">
        <f t="shared" si="0"/>
        <v>106610.14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24711.93</v>
      </c>
      <c r="G199" s="18">
        <v>2880.24</v>
      </c>
      <c r="H199" s="18">
        <f>7102.37+1642.1+1495+4396.31</f>
        <v>14635.779999999999</v>
      </c>
      <c r="I199" s="18">
        <f>44299.63+14</f>
        <v>44313.63</v>
      </c>
      <c r="J199" s="18">
        <v>1362.56</v>
      </c>
      <c r="K199" s="18">
        <v>550</v>
      </c>
      <c r="L199" s="19">
        <f t="shared" si="0"/>
        <v>88454.139999999985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46874.69+3770.23</f>
        <v>50644.920000000006</v>
      </c>
      <c r="I200" s="18"/>
      <c r="J200" s="18"/>
      <c r="K200" s="18"/>
      <c r="L200" s="19">
        <f t="shared" si="0"/>
        <v>50644.920000000006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782553.22</v>
      </c>
      <c r="G203" s="41">
        <f t="shared" si="1"/>
        <v>357039.22</v>
      </c>
      <c r="H203" s="41">
        <f t="shared" si="1"/>
        <v>320417.08</v>
      </c>
      <c r="I203" s="41">
        <f t="shared" si="1"/>
        <v>90124.64</v>
      </c>
      <c r="J203" s="41">
        <f t="shared" si="1"/>
        <v>10240.6</v>
      </c>
      <c r="K203" s="41">
        <f t="shared" si="1"/>
        <v>10412.379999999999</v>
      </c>
      <c r="L203" s="41">
        <f t="shared" si="1"/>
        <v>1570787.14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534881.61</f>
        <v>534881.61</v>
      </c>
      <c r="I225" s="18"/>
      <c r="J225" s="18"/>
      <c r="K225" s="18"/>
      <c r="L225" s="19">
        <f>SUM(F225:K225)</f>
        <v>534881.61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222941.35-3480.81</f>
        <v>219460.54</v>
      </c>
      <c r="I226" s="18"/>
      <c r="J226" s="18"/>
      <c r="K226" s="18"/>
      <c r="L226" s="19">
        <f>SUM(F226:K226)</f>
        <v>219460.54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17278.82</v>
      </c>
      <c r="I227" s="18"/>
      <c r="J227" s="18"/>
      <c r="K227" s="18"/>
      <c r="L227" s="19">
        <f>SUM(F227:K227)</f>
        <v>17278.82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52885.89+3480.81</f>
        <v>56366.7</v>
      </c>
      <c r="I236" s="18"/>
      <c r="J236" s="18"/>
      <c r="K236" s="18"/>
      <c r="L236" s="19">
        <f t="shared" si="4"/>
        <v>56366.7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827987.66999999993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827987.66999999993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f>1434.75+296507.44</f>
        <v>297942.19</v>
      </c>
      <c r="I247" s="18"/>
      <c r="J247" s="18"/>
      <c r="K247" s="18">
        <v>250</v>
      </c>
      <c r="L247" s="19">
        <f t="shared" si="6"/>
        <v>298192.19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297942.19</v>
      </c>
      <c r="I248" s="41">
        <f t="shared" si="7"/>
        <v>0</v>
      </c>
      <c r="J248" s="41">
        <f t="shared" si="7"/>
        <v>0</v>
      </c>
      <c r="K248" s="41">
        <f t="shared" si="7"/>
        <v>250</v>
      </c>
      <c r="L248" s="41">
        <f>SUM(F248:K248)</f>
        <v>298192.19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782553.22</v>
      </c>
      <c r="G249" s="41">
        <f t="shared" si="8"/>
        <v>357039.22</v>
      </c>
      <c r="H249" s="41">
        <f t="shared" si="8"/>
        <v>1446346.94</v>
      </c>
      <c r="I249" s="41">
        <f t="shared" si="8"/>
        <v>90124.64</v>
      </c>
      <c r="J249" s="41">
        <f t="shared" si="8"/>
        <v>10240.6</v>
      </c>
      <c r="K249" s="41">
        <f t="shared" si="8"/>
        <v>10662.38</v>
      </c>
      <c r="L249" s="41">
        <f t="shared" si="8"/>
        <v>2696966.9999999995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36000</v>
      </c>
      <c r="L252" s="19">
        <f>SUM(F252:K252)</f>
        <v>36000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8435.6200000000008</v>
      </c>
      <c r="L253" s="19">
        <f>SUM(F253:K253)</f>
        <v>8435.6200000000008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44435.62</v>
      </c>
      <c r="L262" s="41">
        <f t="shared" si="9"/>
        <v>44435.62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782553.22</v>
      </c>
      <c r="G263" s="42">
        <f t="shared" si="11"/>
        <v>357039.22</v>
      </c>
      <c r="H263" s="42">
        <f t="shared" si="11"/>
        <v>1446346.94</v>
      </c>
      <c r="I263" s="42">
        <f t="shared" si="11"/>
        <v>90124.64</v>
      </c>
      <c r="J263" s="42">
        <f t="shared" si="11"/>
        <v>10240.6</v>
      </c>
      <c r="K263" s="42">
        <f t="shared" si="11"/>
        <v>55098</v>
      </c>
      <c r="L263" s="42">
        <f t="shared" si="11"/>
        <v>2741402.6199999996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f>5525.64+6384.46</f>
        <v>11910.1</v>
      </c>
      <c r="G324" s="18">
        <v>865.22</v>
      </c>
      <c r="H324" s="18">
        <f>-865.22+6959.86+8000+5000+5000+235.94</f>
        <v>24330.579999999998</v>
      </c>
      <c r="I324" s="18">
        <f>7730.6+2170</f>
        <v>9900.6</v>
      </c>
      <c r="J324" s="18"/>
      <c r="K324" s="18">
        <f>345+50</f>
        <v>395</v>
      </c>
      <c r="L324" s="19">
        <f t="shared" ref="L324:L329" si="18">SUM(F324:K324)</f>
        <v>47401.499999999993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11910.1</v>
      </c>
      <c r="G329" s="41">
        <f t="shared" si="19"/>
        <v>865.22</v>
      </c>
      <c r="H329" s="41">
        <f t="shared" si="19"/>
        <v>24330.579999999998</v>
      </c>
      <c r="I329" s="41">
        <f t="shared" si="19"/>
        <v>9900.6</v>
      </c>
      <c r="J329" s="41">
        <f t="shared" si="19"/>
        <v>0</v>
      </c>
      <c r="K329" s="41">
        <f t="shared" si="19"/>
        <v>395</v>
      </c>
      <c r="L329" s="41">
        <f t="shared" si="18"/>
        <v>47401.499999999993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11910.1</v>
      </c>
      <c r="G330" s="41">
        <f t="shared" si="20"/>
        <v>865.22</v>
      </c>
      <c r="H330" s="41">
        <f t="shared" si="20"/>
        <v>24330.579999999998</v>
      </c>
      <c r="I330" s="41">
        <f t="shared" si="20"/>
        <v>9900.6</v>
      </c>
      <c r="J330" s="41">
        <f t="shared" si="20"/>
        <v>0</v>
      </c>
      <c r="K330" s="41">
        <f t="shared" si="20"/>
        <v>395</v>
      </c>
      <c r="L330" s="41">
        <f t="shared" si="20"/>
        <v>47401.499999999993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11910.1</v>
      </c>
      <c r="G344" s="41">
        <f>G330</f>
        <v>865.22</v>
      </c>
      <c r="H344" s="41">
        <f>H330</f>
        <v>24330.579999999998</v>
      </c>
      <c r="I344" s="41">
        <f>I330</f>
        <v>9900.6</v>
      </c>
      <c r="J344" s="41">
        <f>J330</f>
        <v>0</v>
      </c>
      <c r="K344" s="47">
        <f>K330+K343</f>
        <v>395</v>
      </c>
      <c r="L344" s="41">
        <f>L330+L343</f>
        <v>47401.499999999993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22402.27</v>
      </c>
      <c r="G350" s="18">
        <v>17488.419999999998</v>
      </c>
      <c r="H350" s="18">
        <f>11138.13+480.56</f>
        <v>11618.689999999999</v>
      </c>
      <c r="I350" s="18">
        <v>19800.82</v>
      </c>
      <c r="J350" s="18">
        <v>18.88</v>
      </c>
      <c r="K350" s="18">
        <v>8</v>
      </c>
      <c r="L350" s="13">
        <f>SUM(F350:K350)</f>
        <v>71337.080000000016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22402.27</v>
      </c>
      <c r="G354" s="47">
        <f t="shared" si="22"/>
        <v>17488.419999999998</v>
      </c>
      <c r="H354" s="47">
        <f t="shared" si="22"/>
        <v>11618.689999999999</v>
      </c>
      <c r="I354" s="47">
        <f t="shared" si="22"/>
        <v>19800.82</v>
      </c>
      <c r="J354" s="47">
        <f t="shared" si="22"/>
        <v>18.88</v>
      </c>
      <c r="K354" s="47">
        <f t="shared" si="22"/>
        <v>8</v>
      </c>
      <c r="L354" s="47">
        <f t="shared" si="22"/>
        <v>71337.080000000016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14597.25+3600.8</f>
        <v>18198.05</v>
      </c>
      <c r="G359" s="18"/>
      <c r="H359" s="18"/>
      <c r="I359" s="56">
        <f>SUM(F359:H359)</f>
        <v>18198.05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635.35+967.42</f>
        <v>1602.77</v>
      </c>
      <c r="G360" s="63"/>
      <c r="H360" s="63"/>
      <c r="I360" s="56">
        <f>SUM(F360:H360)</f>
        <v>1602.77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19800.82</v>
      </c>
      <c r="G361" s="47">
        <f>SUM(G359:G360)</f>
        <v>0</v>
      </c>
      <c r="H361" s="47">
        <f>SUM(H359:H360)</f>
        <v>0</v>
      </c>
      <c r="I361" s="47">
        <f>SUM(I359:I360)</f>
        <v>19800.82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>
        <v>10000</v>
      </c>
      <c r="G390" s="18"/>
      <c r="H390" s="18"/>
      <c r="I390" s="18"/>
      <c r="J390" s="24" t="s">
        <v>312</v>
      </c>
      <c r="K390" s="24" t="s">
        <v>312</v>
      </c>
      <c r="L390" s="56">
        <f t="shared" si="26"/>
        <v>10000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10000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10000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10000</v>
      </c>
      <c r="G400" s="47">
        <f>G385+G393+G399</f>
        <v>0</v>
      </c>
      <c r="H400" s="47">
        <f>H385+H393+H399</f>
        <v>0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10000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>
        <v>10000</v>
      </c>
      <c r="L416" s="56">
        <f t="shared" si="29"/>
        <v>10000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10000</v>
      </c>
      <c r="L419" s="47">
        <f t="shared" si="30"/>
        <v>10000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10000</v>
      </c>
      <c r="L426" s="47">
        <f t="shared" si="32"/>
        <v>10000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0</v>
      </c>
      <c r="H438" s="13">
        <f>SUM(H431:H437)</f>
        <v>0</v>
      </c>
      <c r="I438" s="13">
        <f>SUM(I431:I437)</f>
        <v>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0</v>
      </c>
      <c r="H450" s="83">
        <f>SUM(H446:H449)</f>
        <v>0</v>
      </c>
      <c r="I450" s="83">
        <f>SUM(I446:I449)</f>
        <v>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0</v>
      </c>
      <c r="H451" s="42">
        <f>H444+H450</f>
        <v>0</v>
      </c>
      <c r="I451" s="42">
        <f>I444+I450</f>
        <v>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-64717.87</v>
      </c>
      <c r="G455" s="18">
        <v>16500.79</v>
      </c>
      <c r="H455" s="18">
        <v>-3294.29</v>
      </c>
      <c r="I455" s="18">
        <v>0</v>
      </c>
      <c r="J455" s="18"/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2763278.4</v>
      </c>
      <c r="G458" s="18">
        <v>72016.44</v>
      </c>
      <c r="H458" s="18">
        <v>50841.5</v>
      </c>
      <c r="I458" s="18"/>
      <c r="J458" s="18">
        <f>10000</f>
        <v>10000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2763278.4</v>
      </c>
      <c r="G460" s="53">
        <f>SUM(G458:G459)</f>
        <v>72016.44</v>
      </c>
      <c r="H460" s="53">
        <f>SUM(H458:H459)</f>
        <v>50841.5</v>
      </c>
      <c r="I460" s="53">
        <f>SUM(I458:I459)</f>
        <v>0</v>
      </c>
      <c r="J460" s="53">
        <f>SUM(J458:J459)</f>
        <v>10000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2741402.62</v>
      </c>
      <c r="G462" s="18">
        <v>71337.08</v>
      </c>
      <c r="H462" s="18">
        <v>47401.5</v>
      </c>
      <c r="I462" s="18"/>
      <c r="J462" s="18">
        <f>10000</f>
        <v>10000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2741402.62</v>
      </c>
      <c r="G464" s="53">
        <f>SUM(G462:G463)</f>
        <v>71337.08</v>
      </c>
      <c r="H464" s="53">
        <f>SUM(H462:H463)</f>
        <v>47401.5</v>
      </c>
      <c r="I464" s="53">
        <f>SUM(I462:I463)</f>
        <v>0</v>
      </c>
      <c r="J464" s="53">
        <f>SUM(J462:J463)</f>
        <v>10000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-42842.090000000317</v>
      </c>
      <c r="G466" s="53">
        <f>(G455+G460)- G464</f>
        <v>17180.150000000009</v>
      </c>
      <c r="H466" s="53">
        <f>(H455+H460)- H464</f>
        <v>145.70999999999913</v>
      </c>
      <c r="I466" s="53">
        <f>(I455+I460)- I464</f>
        <v>0</v>
      </c>
      <c r="J466" s="53">
        <f>(J455+J460)- J464</f>
        <v>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180000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180000</v>
      </c>
      <c r="G485" s="18"/>
      <c r="H485" s="18"/>
      <c r="I485" s="18"/>
      <c r="J485" s="18"/>
      <c r="K485" s="53">
        <f>SUM(F485:J485)</f>
        <v>180000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36000</v>
      </c>
      <c r="G487" s="18"/>
      <c r="H487" s="18"/>
      <c r="I487" s="18"/>
      <c r="J487" s="18"/>
      <c r="K487" s="53">
        <f t="shared" si="34"/>
        <v>36000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144000</v>
      </c>
      <c r="G488" s="205"/>
      <c r="H488" s="205"/>
      <c r="I488" s="205"/>
      <c r="J488" s="205"/>
      <c r="K488" s="206">
        <f t="shared" si="34"/>
        <v>144000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5040+3790.36+2520+1260</f>
        <v>12610.36</v>
      </c>
      <c r="G489" s="18"/>
      <c r="H489" s="18"/>
      <c r="I489" s="18"/>
      <c r="J489" s="18"/>
      <c r="K489" s="53">
        <f t="shared" si="34"/>
        <v>12610.36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156610.35999999999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156610.35999999999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36000</v>
      </c>
      <c r="G491" s="205"/>
      <c r="H491" s="205"/>
      <c r="I491" s="205"/>
      <c r="J491" s="205"/>
      <c r="K491" s="206">
        <f t="shared" si="34"/>
        <v>36000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5040</v>
      </c>
      <c r="G492" s="18"/>
      <c r="H492" s="18"/>
      <c r="I492" s="18"/>
      <c r="J492" s="18"/>
      <c r="K492" s="53">
        <f t="shared" si="34"/>
        <v>5040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41040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41040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111887.37</v>
      </c>
      <c r="G511" s="18">
        <v>87820.29</v>
      </c>
      <c r="H511" s="18">
        <f>67134.44+269.85+8429</f>
        <v>75833.290000000008</v>
      </c>
      <c r="I511" s="18">
        <v>1608.01</v>
      </c>
      <c r="J511" s="18">
        <v>5256.96</v>
      </c>
      <c r="K511" s="18"/>
      <c r="L511" s="88">
        <f>SUM(F511:K511)</f>
        <v>282405.92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f>166460.54+53000</f>
        <v>219460.54</v>
      </c>
      <c r="I513" s="18"/>
      <c r="J513" s="18"/>
      <c r="K513" s="18"/>
      <c r="L513" s="88">
        <f>SUM(F513:K513)</f>
        <v>219460.54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111887.37</v>
      </c>
      <c r="G514" s="108">
        <f t="shared" ref="G514:L514" si="35">SUM(G511:G513)</f>
        <v>87820.29</v>
      </c>
      <c r="H514" s="108">
        <f t="shared" si="35"/>
        <v>295293.83</v>
      </c>
      <c r="I514" s="108">
        <f t="shared" si="35"/>
        <v>1608.01</v>
      </c>
      <c r="J514" s="108">
        <f t="shared" si="35"/>
        <v>5256.96</v>
      </c>
      <c r="K514" s="108">
        <f t="shared" si="35"/>
        <v>0</v>
      </c>
      <c r="L514" s="89">
        <f t="shared" si="35"/>
        <v>501866.45999999996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3621.73+148.5</f>
        <v>3770.23</v>
      </c>
      <c r="I531" s="18"/>
      <c r="J531" s="18"/>
      <c r="K531" s="18"/>
      <c r="L531" s="88">
        <f>SUM(F531:K531)</f>
        <v>3770.23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3480.81</v>
      </c>
      <c r="I533" s="18"/>
      <c r="J533" s="18"/>
      <c r="K533" s="18"/>
      <c r="L533" s="88">
        <f>SUM(F533:K533)</f>
        <v>3480.81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7251.04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7251.04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111887.37</v>
      </c>
      <c r="G535" s="89">
        <f t="shared" ref="G535:L535" si="40">G514+G519+G524+G529+G534</f>
        <v>87820.29</v>
      </c>
      <c r="H535" s="89">
        <f t="shared" si="40"/>
        <v>302544.87</v>
      </c>
      <c r="I535" s="89">
        <f t="shared" si="40"/>
        <v>1608.01</v>
      </c>
      <c r="J535" s="89">
        <f t="shared" si="40"/>
        <v>5256.96</v>
      </c>
      <c r="K535" s="89">
        <f t="shared" si="40"/>
        <v>0</v>
      </c>
      <c r="L535" s="89">
        <f t="shared" si="40"/>
        <v>509117.49999999994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282405.92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3770.23</v>
      </c>
      <c r="K539" s="87">
        <f>SUM(F539:J539)</f>
        <v>286176.14999999997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219460.54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3480.81</v>
      </c>
      <c r="K541" s="87">
        <f>SUM(F541:J541)</f>
        <v>222941.35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501866.45999999996</v>
      </c>
      <c r="G542" s="89">
        <f t="shared" si="41"/>
        <v>0</v>
      </c>
      <c r="H542" s="89">
        <f t="shared" si="41"/>
        <v>0</v>
      </c>
      <c r="I542" s="89">
        <f t="shared" si="41"/>
        <v>0</v>
      </c>
      <c r="J542" s="89">
        <f t="shared" si="41"/>
        <v>7251.04</v>
      </c>
      <c r="K542" s="89">
        <f t="shared" si="41"/>
        <v>509117.5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41827.160000000003</v>
      </c>
      <c r="I565" s="87">
        <f>SUM(F565:H565)</f>
        <v>41827.160000000003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493054.45</v>
      </c>
      <c r="I566" s="87">
        <f t="shared" ref="I566:I577" si="46">SUM(F566:H566)</f>
        <v>493054.45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166460.54</v>
      </c>
      <c r="I569" s="87">
        <f t="shared" si="46"/>
        <v>166460.54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>
        <v>53000</v>
      </c>
      <c r="I570" s="87">
        <f t="shared" si="46"/>
        <v>53000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17278.82</v>
      </c>
      <c r="I575" s="87">
        <f t="shared" si="46"/>
        <v>17278.82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41896.33+2072.8</f>
        <v>43969.130000000005</v>
      </c>
      <c r="I581" s="18"/>
      <c r="J581" s="18">
        <f>50352.47+2533.42</f>
        <v>52885.89</v>
      </c>
      <c r="K581" s="104">
        <f t="shared" ref="K581:K587" si="47">SUM(H581:J581)</f>
        <v>96855.02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3770.23</v>
      </c>
      <c r="I582" s="18"/>
      <c r="J582" s="18">
        <v>3480.81</v>
      </c>
      <c r="K582" s="104">
        <f t="shared" si="47"/>
        <v>7251.04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650</v>
      </c>
      <c r="I584" s="18"/>
      <c r="J584" s="18"/>
      <c r="K584" s="104">
        <f t="shared" si="47"/>
        <v>650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2173.56+82</f>
        <v>2255.56</v>
      </c>
      <c r="I585" s="18"/>
      <c r="J585" s="18"/>
      <c r="K585" s="104">
        <f t="shared" si="47"/>
        <v>2255.56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50644.920000000006</v>
      </c>
      <c r="I588" s="108">
        <f>SUM(I581:I587)</f>
        <v>0</v>
      </c>
      <c r="J588" s="108">
        <f>SUM(J581:J587)</f>
        <v>56366.7</v>
      </c>
      <c r="K588" s="108">
        <f>SUM(K581:K587)</f>
        <v>107011.62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10240.6</v>
      </c>
      <c r="I594" s="18"/>
      <c r="J594" s="18"/>
      <c r="K594" s="104">
        <f>SUM(H594:J594)</f>
        <v>10240.6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10240.6</v>
      </c>
      <c r="I595" s="108">
        <f>SUM(I592:I594)</f>
        <v>0</v>
      </c>
      <c r="J595" s="108">
        <f>SUM(J592:J594)</f>
        <v>0</v>
      </c>
      <c r="K595" s="108">
        <f>SUM(K592:K594)</f>
        <v>10240.6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16877.810000000001</v>
      </c>
      <c r="H607" s="109">
        <f>SUM(F44)</f>
        <v>16877.810000000005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17180.150000000001</v>
      </c>
      <c r="H608" s="109">
        <f>SUM(G44)</f>
        <v>17180.150000000001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145.71</v>
      </c>
      <c r="H609" s="109">
        <f>SUM(H44)</f>
        <v>145.71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0</v>
      </c>
      <c r="H611" s="109">
        <f>SUM(J44)</f>
        <v>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-42842.09</v>
      </c>
      <c r="H612" s="109">
        <f>F466</f>
        <v>-42842.090000000317</v>
      </c>
      <c r="I612" s="121" t="s">
        <v>106</v>
      </c>
      <c r="J612" s="109">
        <f t="shared" ref="J612:J645" si="49">G612-H612</f>
        <v>3.2014213502407074E-10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17180.150000000001</v>
      </c>
      <c r="H613" s="109">
        <f>G466</f>
        <v>17180.150000000009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145.71</v>
      </c>
      <c r="H614" s="109">
        <f>H466</f>
        <v>145.70999999999913</v>
      </c>
      <c r="I614" s="121" t="s">
        <v>110</v>
      </c>
      <c r="J614" s="109">
        <f t="shared" si="49"/>
        <v>8.8107299234252423E-13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0</v>
      </c>
      <c r="H616" s="109">
        <f>J466</f>
        <v>0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2763278.4</v>
      </c>
      <c r="H617" s="104">
        <f>SUM(F458)</f>
        <v>2763278.4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72016.44</v>
      </c>
      <c r="H618" s="104">
        <f>SUM(G458)</f>
        <v>72016.44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50841.5</v>
      </c>
      <c r="H619" s="104">
        <f>SUM(H458)</f>
        <v>50841.5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10000</v>
      </c>
      <c r="H621" s="104">
        <f>SUM(J458)</f>
        <v>10000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2741402.6199999996</v>
      </c>
      <c r="H622" s="104">
        <f>SUM(F462)</f>
        <v>2741402.62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47401.499999999993</v>
      </c>
      <c r="H623" s="104">
        <f>SUM(H462)</f>
        <v>47401.5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19800.82</v>
      </c>
      <c r="H624" s="104">
        <f>I361</f>
        <v>19800.82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71337.080000000016</v>
      </c>
      <c r="H625" s="104">
        <f>SUM(G462)</f>
        <v>71337.08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10000</v>
      </c>
      <c r="H627" s="164">
        <f>SUM(J458)</f>
        <v>10000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10000</v>
      </c>
      <c r="H628" s="164">
        <f>SUM(J462)</f>
        <v>10000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0</v>
      </c>
      <c r="H632" s="104">
        <f>SUM(I451)</f>
        <v>0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10000</v>
      </c>
      <c r="H633" s="104">
        <f>F400</f>
        <v>10000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0</v>
      </c>
      <c r="H634" s="104">
        <f>H400</f>
        <v>0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10000</v>
      </c>
      <c r="H636" s="104">
        <f>L400</f>
        <v>10000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107011.62</v>
      </c>
      <c r="H637" s="104">
        <f>L200+L218+L236</f>
        <v>107011.62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10240.6</v>
      </c>
      <c r="H638" s="104">
        <f>(J249+J330)-(J247+J328)</f>
        <v>10240.6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50644.920000000006</v>
      </c>
      <c r="H639" s="104">
        <f>H588</f>
        <v>50644.920000000006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56366.7</v>
      </c>
      <c r="H641" s="104">
        <f>J588</f>
        <v>56366.7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1642124.22</v>
      </c>
      <c r="G650" s="19">
        <f>(L221+L301+L351)</f>
        <v>0</v>
      </c>
      <c r="H650" s="19">
        <f>(L239+L320+L352)</f>
        <v>827987.66999999993</v>
      </c>
      <c r="I650" s="19">
        <f>SUM(F650:H650)</f>
        <v>2470111.8899999997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18096.71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18096.71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50644.920000000006</v>
      </c>
      <c r="G652" s="19">
        <f>(L218+L298)-(J218+J298)</f>
        <v>0</v>
      </c>
      <c r="H652" s="19">
        <f>(L236+L317)-(J236+J317)</f>
        <v>56366.7</v>
      </c>
      <c r="I652" s="19">
        <f>SUM(F652:H652)</f>
        <v>107011.62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10240.6</v>
      </c>
      <c r="G653" s="200">
        <f>SUM(G565:G577)+SUM(I592:I594)+L602</f>
        <v>0</v>
      </c>
      <c r="H653" s="200">
        <f>SUM(H565:H577)+SUM(J592:J594)+L603</f>
        <v>771620.97</v>
      </c>
      <c r="I653" s="19">
        <f>SUM(F653:H653)</f>
        <v>781861.57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1563141.99</v>
      </c>
      <c r="G654" s="19">
        <f>G650-SUM(G651:G653)</f>
        <v>0</v>
      </c>
      <c r="H654" s="19">
        <f>H650-SUM(H651:H653)</f>
        <v>0</v>
      </c>
      <c r="I654" s="19">
        <f>I650-SUM(I651:I653)</f>
        <v>1563141.9899999998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71.86</v>
      </c>
      <c r="G655" s="249"/>
      <c r="H655" s="249"/>
      <c r="I655" s="19">
        <f>SUM(F655:H655)</f>
        <v>71.86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21752.6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21752.6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21752.6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21752.6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E7913-EE5A-4B47-B6FC-68EEB68DCA65}">
  <sheetPr>
    <tabColor indexed="20"/>
  </sheetPr>
  <dimension ref="A1:C52"/>
  <sheetViews>
    <sheetView workbookViewId="0">
      <selection activeCell="A52" sqref="A5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Monroe School District-SAU 77</v>
      </c>
      <c r="C1" s="239" t="s">
        <v>873</v>
      </c>
    </row>
    <row r="2" spans="1:3" x14ac:dyDescent="0.2">
      <c r="A2" s="234"/>
      <c r="B2" s="233"/>
    </row>
    <row r="3" spans="1:3" x14ac:dyDescent="0.2">
      <c r="A3" s="276" t="s">
        <v>818</v>
      </c>
      <c r="B3" s="276"/>
      <c r="C3" s="276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817</v>
      </c>
      <c r="C6" s="275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425947.13</v>
      </c>
      <c r="C9" s="230">
        <f>'DOE25'!G189+'DOE25'!G207+'DOE25'!G225+'DOE25'!G268+'DOE25'!G287+'DOE25'!G306</f>
        <v>160054.75</v>
      </c>
    </row>
    <row r="10" spans="1:3" x14ac:dyDescent="0.2">
      <c r="A10" t="s">
        <v>813</v>
      </c>
      <c r="B10" s="241">
        <f>369784.17+49245.19</f>
        <v>419029.36</v>
      </c>
      <c r="C10" s="241">
        <v>160054.75</v>
      </c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>
        <v>6917.77</v>
      </c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425947.13</v>
      </c>
      <c r="C13" s="232">
        <f>SUM(C10:C12)</f>
        <v>160054.75</v>
      </c>
    </row>
    <row r="14" spans="1:3" x14ac:dyDescent="0.2">
      <c r="B14" s="231"/>
      <c r="C14" s="231"/>
    </row>
    <row r="15" spans="1:3" x14ac:dyDescent="0.2">
      <c r="B15" s="275" t="s">
        <v>817</v>
      </c>
      <c r="C15" s="275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111887.37</v>
      </c>
      <c r="C18" s="230">
        <f>'DOE25'!G190+'DOE25'!G208+'DOE25'!G226+'DOE25'!G269+'DOE25'!G288+'DOE25'!G307</f>
        <v>87820.29</v>
      </c>
    </row>
    <row r="19" spans="1:3" x14ac:dyDescent="0.2">
      <c r="A19" t="s">
        <v>813</v>
      </c>
      <c r="B19" s="241">
        <f>35881.41+5828.71+37.38</f>
        <v>41747.5</v>
      </c>
      <c r="C19" s="241">
        <f>29806.4+3158.76</f>
        <v>32965.160000000003</v>
      </c>
    </row>
    <row r="20" spans="1:3" x14ac:dyDescent="0.2">
      <c r="A20" t="s">
        <v>814</v>
      </c>
      <c r="B20" s="241">
        <f>64102.81+2623.4</f>
        <v>66726.209999999992</v>
      </c>
      <c r="C20" s="241">
        <f>48631.5+6223.63</f>
        <v>54855.13</v>
      </c>
    </row>
    <row r="21" spans="1:3" x14ac:dyDescent="0.2">
      <c r="A21" t="s">
        <v>815</v>
      </c>
      <c r="B21" s="241">
        <v>3413.66</v>
      </c>
      <c r="C21" s="241">
        <v>0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111887.37</v>
      </c>
      <c r="C22" s="232">
        <f>SUM(C19:C21)</f>
        <v>87820.290000000008</v>
      </c>
    </row>
    <row r="23" spans="1:3" x14ac:dyDescent="0.2">
      <c r="B23" s="231"/>
      <c r="C23" s="231"/>
    </row>
    <row r="24" spans="1:3" x14ac:dyDescent="0.2">
      <c r="B24" s="275" t="s">
        <v>817</v>
      </c>
      <c r="C24" s="275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5" t="s">
        <v>817</v>
      </c>
      <c r="C33" s="275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3045</v>
      </c>
      <c r="C36" s="236">
        <f>'DOE25'!G192+'DOE25'!G210+'DOE25'!G228+'DOE25'!G271+'DOE25'!G290+'DOE25'!G309</f>
        <v>299.44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3045</v>
      </c>
      <c r="C39" s="241">
        <v>299.44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3045</v>
      </c>
      <c r="C40" s="232">
        <f>SUM(C37:C39)</f>
        <v>299.44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E0EBE-B0DD-4B8F-A14B-8790F4FF65DD}">
  <sheetPr>
    <tabColor indexed="11"/>
  </sheetPr>
  <dimension ref="A1:I51"/>
  <sheetViews>
    <sheetView workbookViewId="0">
      <pane ySplit="4" topLeftCell="A6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824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748</v>
      </c>
      <c r="B2" s="266" t="str">
        <f>'DOE25'!A2</f>
        <v>Monroe School District-SAU 77</v>
      </c>
      <c r="C2" s="181"/>
      <c r="D2" s="181" t="s">
        <v>826</v>
      </c>
      <c r="E2" s="181" t="s">
        <v>828</v>
      </c>
      <c r="F2" s="277" t="s">
        <v>855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1733342.2600000002</v>
      </c>
      <c r="D5" s="20">
        <f>SUM('DOE25'!L189:L192)+SUM('DOE25'!L207:L210)+SUM('DOE25'!L225:L228)-F5-G5</f>
        <v>1725562.5700000003</v>
      </c>
      <c r="E5" s="244"/>
      <c r="F5" s="256">
        <f>SUM('DOE25'!J189:J192)+SUM('DOE25'!J207:J210)+SUM('DOE25'!J225:J228)</f>
        <v>6696.6900000000005</v>
      </c>
      <c r="G5" s="53">
        <f>SUM('DOE25'!K189:K192)+SUM('DOE25'!K207:K210)+SUM('DOE25'!K225:K228)</f>
        <v>1083</v>
      </c>
      <c r="H5" s="260"/>
    </row>
    <row r="6" spans="1:9" x14ac:dyDescent="0.2">
      <c r="A6" s="32">
        <v>2100</v>
      </c>
      <c r="B6" t="s">
        <v>835</v>
      </c>
      <c r="C6" s="246">
        <f t="shared" si="0"/>
        <v>78629.250000000015</v>
      </c>
      <c r="D6" s="20">
        <f>'DOE25'!L194+'DOE25'!L212+'DOE25'!L230-F6-G6</f>
        <v>76638.840000000011</v>
      </c>
      <c r="E6" s="244"/>
      <c r="F6" s="256">
        <f>'DOE25'!J194+'DOE25'!J212+'DOE25'!J230</f>
        <v>0</v>
      </c>
      <c r="G6" s="53">
        <f>'DOE25'!K194+'DOE25'!K212+'DOE25'!K230</f>
        <v>1990.41</v>
      </c>
      <c r="H6" s="260"/>
    </row>
    <row r="7" spans="1:9" x14ac:dyDescent="0.2">
      <c r="A7" s="32">
        <v>2200</v>
      </c>
      <c r="B7" t="s">
        <v>868</v>
      </c>
      <c r="C7" s="246">
        <f t="shared" si="0"/>
        <v>79902.549999999988</v>
      </c>
      <c r="D7" s="20">
        <f>'DOE25'!L195+'DOE25'!L213+'DOE25'!L231-F7-G7</f>
        <v>79902.549999999988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99687.860000000015</v>
      </c>
      <c r="D8" s="244"/>
      <c r="E8" s="20">
        <f>'DOE25'!L196+'DOE25'!L214+'DOE25'!L232-F8-G8-D9-D11</f>
        <v>90717.540000000008</v>
      </c>
      <c r="F8" s="256">
        <f>'DOE25'!J196+'DOE25'!J214+'DOE25'!J232</f>
        <v>2181.35</v>
      </c>
      <c r="G8" s="53">
        <f>'DOE25'!K196+'DOE25'!K214+'DOE25'!K232</f>
        <v>6788.9699999999993</v>
      </c>
      <c r="H8" s="260"/>
    </row>
    <row r="9" spans="1:9" x14ac:dyDescent="0.2">
      <c r="A9" s="32">
        <v>2310</v>
      </c>
      <c r="B9" t="s">
        <v>852</v>
      </c>
      <c r="C9" s="246">
        <f t="shared" si="0"/>
        <v>9285.39</v>
      </c>
      <c r="D9" s="245">
        <v>9285.39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9800</v>
      </c>
      <c r="D10" s="244"/>
      <c r="E10" s="245">
        <v>9800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95851.6</v>
      </c>
      <c r="D11" s="245">
        <v>95851.6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106610.14</v>
      </c>
      <c r="D12" s="20">
        <f>'DOE25'!L197+'DOE25'!L215+'DOE25'!L233-F12-G12</f>
        <v>106610.14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88454.139999999985</v>
      </c>
      <c r="D14" s="20">
        <f>'DOE25'!L199+'DOE25'!L217+'DOE25'!L235-F14-G14</f>
        <v>86541.579999999987</v>
      </c>
      <c r="E14" s="244"/>
      <c r="F14" s="256">
        <f>'DOE25'!J199+'DOE25'!J217+'DOE25'!J235</f>
        <v>1362.56</v>
      </c>
      <c r="G14" s="53">
        <f>'DOE25'!K199+'DOE25'!K217+'DOE25'!K235</f>
        <v>550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107011.62</v>
      </c>
      <c r="D15" s="20">
        <f>'DOE25'!L200+'DOE25'!L218+'DOE25'!L236-F15-G15</f>
        <v>107011.62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298192.19</v>
      </c>
      <c r="D22" s="244"/>
      <c r="E22" s="244"/>
      <c r="F22" s="256">
        <f>'DOE25'!L247+'DOE25'!L328</f>
        <v>298192.19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44435.62</v>
      </c>
      <c r="D25" s="244"/>
      <c r="E25" s="244"/>
      <c r="F25" s="259"/>
      <c r="G25" s="257"/>
      <c r="H25" s="258">
        <f>'DOE25'!L252+'DOE25'!L253+'DOE25'!L333+'DOE25'!L334</f>
        <v>44435.62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53139.030000000013</v>
      </c>
      <c r="D29" s="20">
        <f>'DOE25'!L350+'DOE25'!L351+'DOE25'!L352-'DOE25'!I359-F29-G29</f>
        <v>53112.150000000016</v>
      </c>
      <c r="E29" s="244"/>
      <c r="F29" s="256">
        <f>'DOE25'!J350+'DOE25'!J351+'DOE25'!J352</f>
        <v>18.88</v>
      </c>
      <c r="G29" s="53">
        <f>'DOE25'!K350+'DOE25'!K351+'DOE25'!K352</f>
        <v>8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2340516.4400000004</v>
      </c>
      <c r="E33" s="247">
        <f>SUM(E5:E31)</f>
        <v>100517.54000000001</v>
      </c>
      <c r="F33" s="247">
        <f>SUM(F5:F31)</f>
        <v>308451.67</v>
      </c>
      <c r="G33" s="247">
        <f>SUM(G5:G31)</f>
        <v>10420.379999999999</v>
      </c>
      <c r="H33" s="247">
        <f>SUM(H5:H31)</f>
        <v>44435.62</v>
      </c>
    </row>
    <row r="35" spans="2:8" ht="12" thickBot="1" x14ac:dyDescent="0.25">
      <c r="B35" s="254" t="s">
        <v>881</v>
      </c>
      <c r="D35" s="255">
        <f>E33</f>
        <v>100517.54000000001</v>
      </c>
      <c r="E35" s="250"/>
    </row>
    <row r="36" spans="2:8" ht="12" thickTop="1" x14ac:dyDescent="0.2">
      <c r="B36" t="s">
        <v>849</v>
      </c>
      <c r="D36" s="20">
        <f>D33</f>
        <v>2340516.4400000004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C0B9-01A4-480E-98C0-3DF83AE8AE2B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Monroe School District-SAU 77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-8476.6699999999983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24915.279999999999</v>
      </c>
      <c r="D12" s="95">
        <f>'DOE25'!G12</f>
        <v>17180.150000000001</v>
      </c>
      <c r="E12" s="95">
        <f>'DOE25'!H12</f>
        <v>145.71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439.2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16877.810000000001</v>
      </c>
      <c r="D19" s="41">
        <f>SUM(D9:D18)</f>
        <v>17180.150000000001</v>
      </c>
      <c r="E19" s="41">
        <f>SUM(E9:E18)</f>
        <v>145.71</v>
      </c>
      <c r="F19" s="41">
        <f>SUM(F9:F18)</f>
        <v>0</v>
      </c>
      <c r="G19" s="41">
        <f>SUM(G9:G18)</f>
        <v>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50557.78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9162.1200000000008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59719.9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17180.150000000001</v>
      </c>
      <c r="E40" s="95">
        <f>'DOE25'!H41</f>
        <v>145.71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-42842.09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-42842.09</v>
      </c>
      <c r="D42" s="41">
        <f>SUM(D34:D41)</f>
        <v>17180.150000000001</v>
      </c>
      <c r="E42" s="41">
        <f>SUM(E34:E41)</f>
        <v>145.71</v>
      </c>
      <c r="F42" s="41">
        <f>SUM(F34:F41)</f>
        <v>0</v>
      </c>
      <c r="G42" s="41">
        <f>SUM(G34:G41)</f>
        <v>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16877.810000000005</v>
      </c>
      <c r="D43" s="41">
        <f>D42+D32</f>
        <v>17180.150000000001</v>
      </c>
      <c r="E43" s="41">
        <f>E42+E32</f>
        <v>145.71</v>
      </c>
      <c r="F43" s="41">
        <f>F42+F32</f>
        <v>0</v>
      </c>
      <c r="G43" s="41">
        <f>G42+G32</f>
        <v>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1865539.78</v>
      </c>
      <c r="D48" s="95">
        <f>'DOE25'!G52</f>
        <v>34648</v>
      </c>
      <c r="E48" s="95">
        <f>'DOE25'!H52</f>
        <v>0</v>
      </c>
      <c r="F48" s="95">
        <f>'DOE25'!I52</f>
        <v>0</v>
      </c>
      <c r="G48" s="95">
        <f>'DOE25'!J52</f>
        <v>10000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424.01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0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18096.71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148436.31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148860.32</v>
      </c>
      <c r="D54" s="130">
        <f>SUM(D49:D53)</f>
        <v>18096.71</v>
      </c>
      <c r="E54" s="130">
        <f>SUM(E49:E53)</f>
        <v>0</v>
      </c>
      <c r="F54" s="130">
        <f>SUM(F49:F53)</f>
        <v>0</v>
      </c>
      <c r="G54" s="130">
        <f>SUM(G49:G53)</f>
        <v>0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2014400.1</v>
      </c>
      <c r="D55" s="22">
        <f>D48+D54</f>
        <v>52744.71</v>
      </c>
      <c r="E55" s="22">
        <f>E48+E54</f>
        <v>0</v>
      </c>
      <c r="F55" s="22">
        <f>F48+F54</f>
        <v>0</v>
      </c>
      <c r="G55" s="22">
        <f>G48+G54</f>
        <v>10000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195828.2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191715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75132.800000000003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462676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79017.69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314.3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79017.69</v>
      </c>
      <c r="D70" s="130">
        <f>SUM(D64:D69)</f>
        <v>314.3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541693.68999999994</v>
      </c>
      <c r="D73" s="130">
        <f>SUM(D71:D72)+D70+D62</f>
        <v>314.3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0</v>
      </c>
      <c r="D80" s="95">
        <f>SUM('DOE25'!G145:G153)</f>
        <v>18957.43</v>
      </c>
      <c r="E80" s="95">
        <f>SUM('DOE25'!H145:H153)</f>
        <v>50841.5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184.61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184.61</v>
      </c>
      <c r="D83" s="131">
        <f>SUM(D77:D82)</f>
        <v>18957.43</v>
      </c>
      <c r="E83" s="131">
        <f>SUM(E77:E82)</f>
        <v>50841.5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180000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27000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207000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2763278.4</v>
      </c>
      <c r="D96" s="86">
        <f>D55+D73+D83+D95</f>
        <v>72016.44</v>
      </c>
      <c r="E96" s="86">
        <f>E55+E73+E83+E95</f>
        <v>50841.5</v>
      </c>
      <c r="F96" s="86">
        <f>F55+F73+F83+F95</f>
        <v>0</v>
      </c>
      <c r="G96" s="86">
        <f>G55+G73+G95</f>
        <v>10000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1207351.07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501866.45999999996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17278.82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6845.91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47401.499999999993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1733342.26</v>
      </c>
      <c r="D107" s="86">
        <f>SUM(D101:D106)</f>
        <v>0</v>
      </c>
      <c r="E107" s="86">
        <f>SUM(E101:E106)</f>
        <v>47401.499999999993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78629.250000000015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79902.549999999988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204824.85000000003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106610.14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88454.139999999985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107011.62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71337.080000000016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665432.55000000005</v>
      </c>
      <c r="D120" s="86">
        <f>SUM(D110:D119)</f>
        <v>71337.080000000016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298192.19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36000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8435.6200000000008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10000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10000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-10000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342627.81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10000</v>
      </c>
    </row>
    <row r="137" spans="1:9" ht="12.75" thickTop="1" thickBot="1" x14ac:dyDescent="0.25">
      <c r="A137" s="33" t="s">
        <v>267</v>
      </c>
      <c r="C137" s="86">
        <f>(C107+C120+C136)</f>
        <v>2741402.62</v>
      </c>
      <c r="D137" s="86">
        <f>(D107+D120+D136)</f>
        <v>71337.080000000016</v>
      </c>
      <c r="E137" s="86">
        <f>(E107+E120+E136)</f>
        <v>47401.499999999993</v>
      </c>
      <c r="F137" s="86">
        <f>(F107+F120+F136)</f>
        <v>0</v>
      </c>
      <c r="G137" s="86">
        <f>(G107+G120+G136)</f>
        <v>10000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07-01-2009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07-01-2014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180000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180000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180000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36000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36000</v>
      </c>
    </row>
    <row r="151" spans="1:7" x14ac:dyDescent="0.2">
      <c r="A151" s="22" t="s">
        <v>35</v>
      </c>
      <c r="B151" s="137">
        <f>'DOE25'!F488</f>
        <v>144000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144000</v>
      </c>
    </row>
    <row r="152" spans="1:7" x14ac:dyDescent="0.2">
      <c r="A152" s="22" t="s">
        <v>36</v>
      </c>
      <c r="B152" s="137">
        <f>'DOE25'!F489</f>
        <v>12610.36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12610.36</v>
      </c>
    </row>
    <row r="153" spans="1:7" x14ac:dyDescent="0.2">
      <c r="A153" s="22" t="s">
        <v>37</v>
      </c>
      <c r="B153" s="137">
        <f>'DOE25'!F490</f>
        <v>156610.35999999999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156610.35999999999</v>
      </c>
    </row>
    <row r="154" spans="1:7" x14ac:dyDescent="0.2">
      <c r="A154" s="22" t="s">
        <v>38</v>
      </c>
      <c r="B154" s="137">
        <f>'DOE25'!F491</f>
        <v>36000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36000</v>
      </c>
    </row>
    <row r="155" spans="1:7" x14ac:dyDescent="0.2">
      <c r="A155" s="22" t="s">
        <v>39</v>
      </c>
      <c r="B155" s="137">
        <f>'DOE25'!F492</f>
        <v>5040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5040</v>
      </c>
    </row>
    <row r="156" spans="1:7" x14ac:dyDescent="0.2">
      <c r="A156" s="22" t="s">
        <v>269</v>
      </c>
      <c r="B156" s="137">
        <f>'DOE25'!F493</f>
        <v>41040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41040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7974-5ACF-40EE-AA24-4735B4CFC42E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772</v>
      </c>
      <c r="B1" s="281"/>
      <c r="C1" s="281"/>
      <c r="D1" s="281"/>
    </row>
    <row r="2" spans="1:4" x14ac:dyDescent="0.2">
      <c r="A2" s="187" t="s">
        <v>748</v>
      </c>
      <c r="B2" s="186" t="str">
        <f>'DOE25'!A2</f>
        <v>Monroe School District-SAU 77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21753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21753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1207351</v>
      </c>
      <c r="D10" s="182">
        <f>ROUND((C10/$C$28)*100,1)</f>
        <v>48.1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501866</v>
      </c>
      <c r="D11" s="182">
        <f>ROUND((C11/$C$28)*100,1)</f>
        <v>20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17279</v>
      </c>
      <c r="D12" s="182">
        <f>ROUND((C12/$C$28)*100,1)</f>
        <v>0.7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6846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78629</v>
      </c>
      <c r="D15" s="182">
        <f t="shared" ref="D15:D27" si="0">ROUND((C15/$C$28)*100,1)</f>
        <v>3.1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79903</v>
      </c>
      <c r="D16" s="182">
        <f t="shared" si="0"/>
        <v>3.2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204825</v>
      </c>
      <c r="D17" s="182">
        <f t="shared" si="0"/>
        <v>8.1999999999999993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106610</v>
      </c>
      <c r="D18" s="182">
        <f t="shared" si="0"/>
        <v>4.3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88454</v>
      </c>
      <c r="D20" s="182">
        <f t="shared" si="0"/>
        <v>3.5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107012</v>
      </c>
      <c r="D21" s="182">
        <f t="shared" si="0"/>
        <v>4.3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47402</v>
      </c>
      <c r="D23" s="182">
        <f t="shared" si="0"/>
        <v>1.9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8436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53240.29</v>
      </c>
      <c r="D27" s="182">
        <f t="shared" si="0"/>
        <v>2.1</v>
      </c>
    </row>
    <row r="28" spans="1:4" x14ac:dyDescent="0.2">
      <c r="B28" s="187" t="s">
        <v>754</v>
      </c>
      <c r="C28" s="180">
        <f>SUM(C10:C27)</f>
        <v>2507853.29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298192</v>
      </c>
    </row>
    <row r="30" spans="1:4" x14ac:dyDescent="0.2">
      <c r="B30" s="187" t="s">
        <v>760</v>
      </c>
      <c r="C30" s="180">
        <f>SUM(C28:C29)</f>
        <v>2806045.29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36000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1910188</v>
      </c>
      <c r="D35" s="182">
        <f t="shared" ref="D35:D40" si="1">ROUND((C35/$C$41)*100,1)</f>
        <v>71.5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148860.10000000009</v>
      </c>
      <c r="D36" s="182">
        <f t="shared" si="1"/>
        <v>5.6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387543</v>
      </c>
      <c r="D37" s="182">
        <f t="shared" si="1"/>
        <v>14.5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154465</v>
      </c>
      <c r="D38" s="182">
        <f t="shared" si="1"/>
        <v>5.8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69984</v>
      </c>
      <c r="D39" s="182">
        <f t="shared" si="1"/>
        <v>2.6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2671040.1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180000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EFF1-FF23-463B-9FA6-184924C2315B}">
  <sheetPr>
    <tabColor indexed="17"/>
  </sheetPr>
  <dimension ref="A1:IV90"/>
  <sheetViews>
    <sheetView workbookViewId="0">
      <pane ySplit="3" topLeftCell="A11" activePane="bottomLeft" state="frozen"/>
      <selection pane="bottomLeft" activeCell="C37" sqref="C37:M3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802</v>
      </c>
      <c r="B1" s="291"/>
      <c r="C1" s="291"/>
      <c r="D1" s="291"/>
      <c r="E1" s="291"/>
      <c r="F1" s="291"/>
      <c r="G1" s="291"/>
      <c r="H1" s="291"/>
      <c r="I1" s="291"/>
      <c r="J1" s="214"/>
      <c r="K1" s="214"/>
      <c r="L1" s="214"/>
      <c r="M1" s="215"/>
    </row>
    <row r="2" spans="1:26" ht="12.75" x14ac:dyDescent="0.2">
      <c r="A2" s="288" t="s">
        <v>799</v>
      </c>
      <c r="B2" s="289"/>
      <c r="C2" s="289"/>
      <c r="D2" s="289"/>
      <c r="E2" s="289"/>
      <c r="F2" s="294" t="str">
        <f>'DOE25'!A2</f>
        <v>Monroe School District-SAU 77</v>
      </c>
      <c r="G2" s="295"/>
      <c r="H2" s="295"/>
      <c r="I2" s="295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2" t="s">
        <v>803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9"/>
      <c r="B4" s="220"/>
      <c r="C4" s="284" t="s">
        <v>926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2</v>
      </c>
      <c r="B6" s="220">
        <v>1</v>
      </c>
      <c r="C6" s="284" t="s">
        <v>915</v>
      </c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>
        <v>2</v>
      </c>
      <c r="B10" s="220">
        <v>2</v>
      </c>
      <c r="C10" s="284" t="s">
        <v>899</v>
      </c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>
        <v>4</v>
      </c>
      <c r="B12" s="220">
        <v>1</v>
      </c>
      <c r="C12" s="284" t="s">
        <v>897</v>
      </c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>
        <v>4</v>
      </c>
      <c r="B14" s="220">
        <v>8</v>
      </c>
      <c r="C14" s="284" t="s">
        <v>898</v>
      </c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>
        <v>6</v>
      </c>
      <c r="B16" s="220">
        <v>8</v>
      </c>
      <c r="C16" s="284" t="s">
        <v>904</v>
      </c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>
        <v>17</v>
      </c>
      <c r="B18" s="220">
        <v>14</v>
      </c>
      <c r="C18" s="284" t="s">
        <v>905</v>
      </c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>
        <v>20</v>
      </c>
      <c r="B23" s="220"/>
      <c r="C23" s="284" t="s">
        <v>900</v>
      </c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>
        <v>21</v>
      </c>
      <c r="B25" s="220"/>
      <c r="C25" s="284" t="s">
        <v>901</v>
      </c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>
        <v>22</v>
      </c>
      <c r="B27" s="220"/>
      <c r="C27" s="284" t="s">
        <v>902</v>
      </c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4" t="s">
        <v>903</v>
      </c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4" t="s">
        <v>912</v>
      </c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4" t="s">
        <v>925</v>
      </c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>
        <v>2</v>
      </c>
      <c r="B32" s="220">
        <v>1</v>
      </c>
      <c r="C32" s="284" t="s">
        <v>924</v>
      </c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4"/>
      <c r="O32" s="224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7"/>
      <c r="AA32" s="219"/>
      <c r="AB32" s="220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9"/>
      <c r="AO32" s="220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9"/>
      <c r="BB32" s="220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9"/>
      <c r="BO32" s="220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9"/>
      <c r="CB32" s="220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9"/>
      <c r="CO32" s="220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9"/>
      <c r="DB32" s="220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9"/>
      <c r="DO32" s="220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9"/>
      <c r="EB32" s="220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9"/>
      <c r="EO32" s="220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9"/>
      <c r="FB32" s="220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9"/>
      <c r="FO32" s="220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9"/>
      <c r="GB32" s="220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9"/>
      <c r="GO32" s="220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9"/>
      <c r="HB32" s="220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9"/>
      <c r="HO32" s="220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9"/>
      <c r="IB32" s="220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9"/>
      <c r="IO32" s="220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9"/>
      <c r="B33" s="220"/>
      <c r="C33" s="284" t="s">
        <v>927</v>
      </c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4" t="s">
        <v>918</v>
      </c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4" t="s">
        <v>919</v>
      </c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71" t="s">
        <v>920</v>
      </c>
      <c r="D38" s="271"/>
      <c r="E38" s="271"/>
      <c r="F38" s="271"/>
      <c r="G38" s="271"/>
      <c r="H38" s="271"/>
      <c r="I38" s="271"/>
      <c r="J38" s="271"/>
      <c r="K38" s="271"/>
      <c r="L38" s="271"/>
      <c r="M38" s="27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71" t="s">
        <v>921</v>
      </c>
      <c r="D39" s="271"/>
      <c r="E39" s="271"/>
      <c r="F39" s="271"/>
      <c r="G39" s="271"/>
      <c r="H39" s="271"/>
      <c r="I39" s="271"/>
      <c r="J39" s="271"/>
      <c r="K39" s="271"/>
      <c r="L39" s="271"/>
      <c r="M39" s="27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71" t="s">
        <v>922</v>
      </c>
      <c r="D40" s="271"/>
      <c r="E40" s="271"/>
      <c r="F40" s="271"/>
      <c r="G40" s="271"/>
      <c r="H40" s="271"/>
      <c r="I40" s="271"/>
      <c r="J40" s="271"/>
      <c r="K40" s="271"/>
      <c r="L40" s="271"/>
      <c r="M40" s="27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71"/>
      <c r="D41" s="271"/>
      <c r="E41" s="271"/>
      <c r="F41" s="271"/>
      <c r="G41" s="271"/>
      <c r="H41" s="271"/>
      <c r="I41" s="271"/>
      <c r="J41" s="271"/>
      <c r="K41" s="271"/>
      <c r="L41" s="271"/>
      <c r="M41" s="27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"/>
      <c r="B42" s="21"/>
      <c r="C42" s="21" t="s">
        <v>923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>
        <v>2</v>
      </c>
      <c r="B45" s="220">
        <v>3</v>
      </c>
      <c r="C45" s="271" t="s">
        <v>906</v>
      </c>
      <c r="D45" s="271"/>
      <c r="E45" s="271"/>
      <c r="F45" s="271"/>
      <c r="G45" s="271"/>
      <c r="H45" s="271"/>
      <c r="I45" s="271"/>
      <c r="J45" s="271"/>
      <c r="K45" s="271"/>
      <c r="L45" s="271"/>
      <c r="M45" s="27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71" t="s">
        <v>907</v>
      </c>
      <c r="D46" s="271"/>
      <c r="E46" s="271"/>
      <c r="F46" s="271"/>
      <c r="G46" s="271"/>
      <c r="H46" s="271"/>
      <c r="I46" s="271"/>
      <c r="J46" s="271"/>
      <c r="K46" s="271"/>
      <c r="L46" s="271"/>
      <c r="M46" s="27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71" t="s">
        <v>908</v>
      </c>
      <c r="D47" s="271"/>
      <c r="E47" s="271"/>
      <c r="F47" s="271"/>
      <c r="G47" s="271"/>
      <c r="H47" s="271"/>
      <c r="I47" s="271"/>
      <c r="J47" s="271"/>
      <c r="K47" s="271"/>
      <c r="L47" s="271"/>
      <c r="M47" s="27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71" t="s">
        <v>909</v>
      </c>
      <c r="D48" s="271"/>
      <c r="E48" s="271"/>
      <c r="F48" s="271"/>
      <c r="G48" s="271"/>
      <c r="H48" s="271"/>
      <c r="I48" s="271"/>
      <c r="J48" s="271"/>
      <c r="K48" s="271"/>
      <c r="L48" s="271"/>
      <c r="M48" s="27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71" t="s">
        <v>910</v>
      </c>
      <c r="D49" s="271"/>
      <c r="E49" s="271"/>
      <c r="F49" s="271"/>
      <c r="G49" s="271"/>
      <c r="H49" s="271"/>
      <c r="I49" s="271"/>
      <c r="J49" s="271"/>
      <c r="K49" s="271"/>
      <c r="L49" s="271"/>
      <c r="M49" s="27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71"/>
      <c r="D50" s="271"/>
      <c r="E50" s="271"/>
      <c r="F50" s="271"/>
      <c r="G50" s="271"/>
      <c r="H50" s="271"/>
      <c r="I50" s="271"/>
      <c r="J50" s="271"/>
      <c r="K50" s="271"/>
      <c r="L50" s="271"/>
      <c r="M50" s="27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71"/>
      <c r="D51" s="271"/>
      <c r="E51" s="271"/>
      <c r="F51" s="271"/>
      <c r="G51" s="271"/>
      <c r="H51" s="271"/>
      <c r="I51" s="271"/>
      <c r="J51" s="271"/>
      <c r="K51" s="271"/>
      <c r="L51" s="271"/>
      <c r="M51" s="27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>
        <v>6</v>
      </c>
      <c r="B52" s="220">
        <v>8</v>
      </c>
      <c r="C52" s="271" t="s">
        <v>911</v>
      </c>
      <c r="D52" s="271"/>
      <c r="E52" s="271"/>
      <c r="F52" s="271"/>
      <c r="G52" s="271"/>
      <c r="H52" s="271"/>
      <c r="I52" s="271"/>
      <c r="J52" s="271"/>
      <c r="K52" s="271"/>
      <c r="L52" s="271"/>
      <c r="M52" s="27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71"/>
      <c r="D53" s="271"/>
      <c r="E53" s="271"/>
      <c r="F53" s="271"/>
      <c r="G53" s="271"/>
      <c r="H53" s="271"/>
      <c r="I53" s="271"/>
      <c r="J53" s="271"/>
      <c r="K53" s="271"/>
      <c r="L53" s="271"/>
      <c r="M53" s="27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71"/>
      <c r="D54" s="271"/>
      <c r="E54" s="271"/>
      <c r="F54" s="271"/>
      <c r="G54" s="271"/>
      <c r="H54" s="271"/>
      <c r="I54" s="271"/>
      <c r="J54" s="271"/>
      <c r="K54" s="271"/>
      <c r="L54" s="271"/>
      <c r="M54" s="27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>
        <v>17</v>
      </c>
      <c r="B55" s="220"/>
      <c r="C55" s="271" t="s">
        <v>913</v>
      </c>
      <c r="D55" s="271"/>
      <c r="E55" s="271"/>
      <c r="F55" s="271"/>
      <c r="G55" s="271"/>
      <c r="H55" s="271"/>
      <c r="I55" s="271"/>
      <c r="J55" s="271"/>
      <c r="K55" s="271"/>
      <c r="L55" s="271"/>
      <c r="M55" s="27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71" t="s">
        <v>917</v>
      </c>
      <c r="D56" s="271"/>
      <c r="E56" s="271"/>
      <c r="F56" s="271"/>
      <c r="G56" s="271"/>
      <c r="H56" s="271"/>
      <c r="I56" s="271"/>
      <c r="J56" s="271"/>
      <c r="K56" s="271"/>
      <c r="L56" s="271"/>
      <c r="M56" s="27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71" t="s">
        <v>914</v>
      </c>
      <c r="D57" s="271"/>
      <c r="E57" s="271"/>
      <c r="F57" s="271"/>
      <c r="G57" s="271"/>
      <c r="H57" s="271"/>
      <c r="I57" s="271"/>
      <c r="J57" s="271"/>
      <c r="K57" s="271"/>
      <c r="L57" s="271"/>
      <c r="M57" s="27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71" t="s">
        <v>916</v>
      </c>
      <c r="D58" s="271"/>
      <c r="E58" s="271"/>
      <c r="F58" s="271"/>
      <c r="G58" s="271"/>
      <c r="H58" s="271"/>
      <c r="I58" s="271"/>
      <c r="J58" s="271"/>
      <c r="K58" s="271"/>
      <c r="L58" s="271"/>
      <c r="M58" s="27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71"/>
      <c r="D59" s="271"/>
      <c r="E59" s="271"/>
      <c r="F59" s="271"/>
      <c r="G59" s="271"/>
      <c r="H59" s="271"/>
      <c r="I59" s="271"/>
      <c r="J59" s="271"/>
      <c r="K59" s="271"/>
      <c r="L59" s="271"/>
      <c r="M59" s="272"/>
    </row>
    <row r="60" spans="1:256" x14ac:dyDescent="0.2">
      <c r="A60" s="219"/>
      <c r="B60" s="220"/>
      <c r="C60" s="271"/>
      <c r="D60" s="271"/>
      <c r="E60" s="271"/>
      <c r="F60" s="271"/>
      <c r="G60" s="271"/>
      <c r="H60" s="271"/>
      <c r="I60" s="271"/>
      <c r="J60" s="271"/>
      <c r="K60" s="271"/>
      <c r="L60" s="271"/>
      <c r="M60" s="272"/>
    </row>
    <row r="61" spans="1:256" x14ac:dyDescent="0.2">
      <c r="A61" s="219"/>
      <c r="B61" s="220"/>
      <c r="C61" s="271"/>
      <c r="D61" s="271"/>
      <c r="E61" s="271"/>
      <c r="F61" s="271"/>
      <c r="G61" s="271"/>
      <c r="H61" s="271"/>
      <c r="I61" s="271"/>
      <c r="J61" s="271"/>
      <c r="K61" s="271"/>
      <c r="L61" s="271"/>
      <c r="M61" s="272"/>
    </row>
    <row r="62" spans="1:256" x14ac:dyDescent="0.2">
      <c r="A62" s="219"/>
      <c r="B62" s="220"/>
      <c r="C62" s="271"/>
      <c r="D62" s="271"/>
      <c r="E62" s="271"/>
      <c r="F62" s="271"/>
      <c r="G62" s="271"/>
      <c r="H62" s="271"/>
      <c r="I62" s="271"/>
      <c r="J62" s="271"/>
      <c r="K62" s="271"/>
      <c r="L62" s="271"/>
      <c r="M62" s="272"/>
    </row>
    <row r="63" spans="1:256" x14ac:dyDescent="0.2">
      <c r="A63" s="219"/>
      <c r="B63" s="220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9"/>
      <c r="B64" s="220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9"/>
      <c r="B65" s="220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9"/>
      <c r="B66" s="220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9"/>
      <c r="B67" s="220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9"/>
      <c r="B68" s="220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9"/>
      <c r="B69" s="220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1"/>
      <c r="B70" s="222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8" t="s">
        <v>893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9"/>
      <c r="D73" s="299"/>
      <c r="E73" s="299"/>
      <c r="F73" s="299"/>
      <c r="G73" s="299"/>
      <c r="H73" s="299"/>
      <c r="I73" s="299"/>
      <c r="J73" s="299"/>
      <c r="K73" s="299"/>
      <c r="L73" s="299"/>
      <c r="M73" s="299"/>
    </row>
    <row r="74" spans="1:13" x14ac:dyDescent="0.2">
      <c r="A74" s="212"/>
      <c r="B74" s="212"/>
      <c r="C74" s="299"/>
      <c r="D74" s="299"/>
      <c r="E74" s="299"/>
      <c r="F74" s="299"/>
      <c r="G74" s="299"/>
      <c r="H74" s="299"/>
      <c r="I74" s="299"/>
      <c r="J74" s="299"/>
      <c r="K74" s="299"/>
      <c r="L74" s="299"/>
      <c r="M74" s="299"/>
    </row>
    <row r="75" spans="1:13" x14ac:dyDescent="0.2">
      <c r="A75" s="212"/>
      <c r="B75" s="212"/>
      <c r="C75" s="299"/>
      <c r="D75" s="299"/>
      <c r="E75" s="299"/>
      <c r="F75" s="299"/>
      <c r="G75" s="299"/>
      <c r="H75" s="299"/>
      <c r="I75" s="299"/>
      <c r="J75" s="299"/>
      <c r="K75" s="299"/>
      <c r="L75" s="299"/>
      <c r="M75" s="299"/>
    </row>
    <row r="76" spans="1:13" x14ac:dyDescent="0.2">
      <c r="A76" s="212"/>
      <c r="B76" s="212"/>
      <c r="C76" s="299"/>
      <c r="D76" s="299"/>
      <c r="E76" s="299"/>
      <c r="F76" s="299"/>
      <c r="G76" s="299"/>
      <c r="H76" s="299"/>
      <c r="I76" s="299"/>
      <c r="J76" s="299"/>
      <c r="K76" s="299"/>
      <c r="L76" s="299"/>
      <c r="M76" s="299"/>
    </row>
    <row r="77" spans="1:13" x14ac:dyDescent="0.2">
      <c r="A77" s="212"/>
      <c r="B77" s="212"/>
      <c r="C77" s="299"/>
      <c r="D77" s="299"/>
      <c r="E77" s="299"/>
      <c r="F77" s="299"/>
      <c r="G77" s="299"/>
      <c r="H77" s="299"/>
      <c r="I77" s="299"/>
      <c r="J77" s="299"/>
      <c r="K77" s="299"/>
      <c r="L77" s="299"/>
      <c r="M77" s="299"/>
    </row>
    <row r="78" spans="1:13" x14ac:dyDescent="0.2">
      <c r="A78" s="212"/>
      <c r="B78" s="212"/>
      <c r="C78" s="299"/>
      <c r="D78" s="299"/>
      <c r="E78" s="299"/>
      <c r="F78" s="299"/>
      <c r="G78" s="299"/>
      <c r="H78" s="299"/>
      <c r="I78" s="299"/>
      <c r="J78" s="299"/>
      <c r="K78" s="299"/>
      <c r="L78" s="299"/>
      <c r="M78" s="299"/>
    </row>
    <row r="79" spans="1:13" x14ac:dyDescent="0.2">
      <c r="A79" s="212"/>
      <c r="B79" s="212"/>
      <c r="C79" s="299"/>
      <c r="D79" s="299"/>
      <c r="E79" s="299"/>
      <c r="F79" s="299"/>
      <c r="G79" s="299"/>
      <c r="H79" s="299"/>
      <c r="I79" s="299"/>
      <c r="J79" s="299"/>
      <c r="K79" s="299"/>
      <c r="L79" s="299"/>
      <c r="M79" s="299"/>
    </row>
    <row r="80" spans="1:13" x14ac:dyDescent="0.2">
      <c r="A80" s="212"/>
      <c r="B80" s="212"/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</row>
    <row r="81" spans="1:13" x14ac:dyDescent="0.2">
      <c r="A81" s="212"/>
      <c r="B81" s="212"/>
      <c r="C81" s="299"/>
      <c r="D81" s="299"/>
      <c r="E81" s="299"/>
      <c r="F81" s="299"/>
      <c r="G81" s="299"/>
      <c r="H81" s="299"/>
      <c r="I81" s="299"/>
      <c r="J81" s="299"/>
      <c r="K81" s="299"/>
      <c r="L81" s="299"/>
      <c r="M81" s="299"/>
    </row>
    <row r="82" spans="1:13" x14ac:dyDescent="0.2">
      <c r="A82" s="212"/>
      <c r="B82" s="212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</row>
    <row r="83" spans="1:13" x14ac:dyDescent="0.2">
      <c r="A83" s="212"/>
      <c r="B83" s="212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</row>
    <row r="84" spans="1:13" x14ac:dyDescent="0.2">
      <c r="A84" s="212"/>
      <c r="B84" s="212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</row>
    <row r="85" spans="1:13" x14ac:dyDescent="0.2">
      <c r="A85" s="212"/>
      <c r="B85" s="212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</row>
    <row r="86" spans="1:13" x14ac:dyDescent="0.2">
      <c r="A86" s="212"/>
      <c r="B86" s="212"/>
      <c r="C86" s="299"/>
      <c r="D86" s="299"/>
      <c r="E86" s="299"/>
      <c r="F86" s="299"/>
      <c r="G86" s="299"/>
      <c r="H86" s="299"/>
      <c r="I86" s="299"/>
      <c r="J86" s="299"/>
      <c r="K86" s="299"/>
      <c r="L86" s="299"/>
      <c r="M86" s="299"/>
    </row>
    <row r="87" spans="1:13" x14ac:dyDescent="0.2">
      <c r="A87" s="212"/>
      <c r="B87" s="212"/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</row>
    <row r="88" spans="1:13" x14ac:dyDescent="0.2">
      <c r="A88" s="212"/>
      <c r="B88" s="212"/>
      <c r="C88" s="299"/>
      <c r="D88" s="299"/>
      <c r="E88" s="299"/>
      <c r="F88" s="299"/>
      <c r="G88" s="299"/>
      <c r="H88" s="299"/>
      <c r="I88" s="299"/>
      <c r="J88" s="299"/>
      <c r="K88" s="299"/>
      <c r="L88" s="299"/>
      <c r="M88" s="299"/>
    </row>
    <row r="89" spans="1:13" x14ac:dyDescent="0.2">
      <c r="A89" s="212"/>
      <c r="B89" s="212"/>
      <c r="C89" s="299"/>
      <c r="D89" s="299"/>
      <c r="E89" s="299"/>
      <c r="F89" s="299"/>
      <c r="G89" s="299"/>
      <c r="H89" s="299"/>
      <c r="I89" s="299"/>
      <c r="J89" s="299"/>
      <c r="K89" s="299"/>
      <c r="L89" s="299"/>
      <c r="M89" s="299"/>
    </row>
    <row r="90" spans="1:13" x14ac:dyDescent="0.2">
      <c r="A90" s="212"/>
      <c r="B90" s="212"/>
      <c r="C90" s="299"/>
      <c r="D90" s="299"/>
      <c r="E90" s="299"/>
      <c r="F90" s="299"/>
      <c r="G90" s="299"/>
      <c r="H90" s="299"/>
      <c r="I90" s="299"/>
      <c r="J90" s="299"/>
      <c r="K90" s="299"/>
      <c r="L90" s="299"/>
      <c r="M90" s="299"/>
    </row>
  </sheetData>
  <sheetProtection password="B70A" sheet="1" objects="1" scenarios="1"/>
  <mergeCells count="196">
    <mergeCell ref="C86:M86"/>
    <mergeCell ref="C87:M87"/>
    <mergeCell ref="C80:M80"/>
    <mergeCell ref="C81:M81"/>
    <mergeCell ref="C82:M82"/>
    <mergeCell ref="C83:M83"/>
    <mergeCell ref="C20:M20"/>
    <mergeCell ref="C29:M29"/>
    <mergeCell ref="C25:M25"/>
    <mergeCell ref="C26:M26"/>
    <mergeCell ref="C27:M27"/>
    <mergeCell ref="C28:M28"/>
    <mergeCell ref="C21:M21"/>
    <mergeCell ref="C23:M23"/>
    <mergeCell ref="C24:M24"/>
    <mergeCell ref="C75:M75"/>
    <mergeCell ref="C76:M76"/>
    <mergeCell ref="C77:M77"/>
    <mergeCell ref="C78:M78"/>
    <mergeCell ref="C79:M79"/>
    <mergeCell ref="C90:M90"/>
    <mergeCell ref="C84:M84"/>
    <mergeCell ref="C85:M85"/>
    <mergeCell ref="C88:M88"/>
    <mergeCell ref="C89:M89"/>
    <mergeCell ref="C68:M68"/>
    <mergeCell ref="C69:M69"/>
    <mergeCell ref="C70:M70"/>
    <mergeCell ref="A72:E72"/>
    <mergeCell ref="C73:M73"/>
    <mergeCell ref="C74:M74"/>
    <mergeCell ref="C22:M22"/>
    <mergeCell ref="C63:M63"/>
    <mergeCell ref="C64:M64"/>
    <mergeCell ref="C65:M65"/>
    <mergeCell ref="C66:M66"/>
    <mergeCell ref="C67:M67"/>
    <mergeCell ref="C12:M12"/>
    <mergeCell ref="C13:M13"/>
    <mergeCell ref="C36:M36"/>
    <mergeCell ref="C37:M37"/>
    <mergeCell ref="C14:M14"/>
    <mergeCell ref="C15:M15"/>
    <mergeCell ref="C16:M16"/>
    <mergeCell ref="C17:M17"/>
    <mergeCell ref="C18:M18"/>
    <mergeCell ref="C19:M19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0:Z30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C33:M33"/>
    <mergeCell ref="BC30:BM30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BP30:BZ30"/>
    <mergeCell ref="CC30:CM30"/>
    <mergeCell ref="CP30:CZ30"/>
    <mergeCell ref="DC30:DM30"/>
    <mergeCell ref="AC30:AM30"/>
    <mergeCell ref="AP30:AZ30"/>
    <mergeCell ref="FP30:FZ30"/>
    <mergeCell ref="GC30:GM30"/>
    <mergeCell ref="GP30:GZ30"/>
    <mergeCell ref="HC30:HM30"/>
    <mergeCell ref="DP30:DZ30"/>
    <mergeCell ref="EC30:EM30"/>
    <mergeCell ref="EP30:EZ30"/>
    <mergeCell ref="FC30:F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IC31:IM31"/>
    <mergeCell ref="P40:Z40"/>
    <mergeCell ref="AC40:AM40"/>
    <mergeCell ref="HP31:HZ31"/>
    <mergeCell ref="P32:Z32"/>
    <mergeCell ref="AC32:AM32"/>
    <mergeCell ref="AP32:AZ32"/>
    <mergeCell ref="P38:Z38"/>
    <mergeCell ref="AC38:AM38"/>
    <mergeCell ref="AP38:AZ38"/>
    <mergeCell ref="DC31:DM31"/>
    <mergeCell ref="GP31:GZ31"/>
    <mergeCell ref="HC31:HM31"/>
    <mergeCell ref="DP31:DZ31"/>
    <mergeCell ref="EC31:EM31"/>
    <mergeCell ref="EP31:EZ31"/>
    <mergeCell ref="FC31:FM31"/>
    <mergeCell ref="GC31:GM31"/>
    <mergeCell ref="GP32:GZ32"/>
    <mergeCell ref="HC32:HM32"/>
    <mergeCell ref="DC32:DM32"/>
    <mergeCell ref="DP32:DZ32"/>
    <mergeCell ref="EC32:EM32"/>
    <mergeCell ref="EP32:EZ32"/>
    <mergeCell ref="CP38:CZ38"/>
    <mergeCell ref="DC38:DM38"/>
    <mergeCell ref="DP38:DZ38"/>
    <mergeCell ref="EC38:EM38"/>
    <mergeCell ref="BP32:BZ32"/>
    <mergeCell ref="BC38:BM38"/>
    <mergeCell ref="BP38:BZ38"/>
    <mergeCell ref="CC38:CM38"/>
    <mergeCell ref="CC32:CM32"/>
    <mergeCell ref="IP39:IV39"/>
    <mergeCell ref="GP38:GZ38"/>
    <mergeCell ref="HC38:HM38"/>
    <mergeCell ref="HP38:HZ38"/>
    <mergeCell ref="IC38:IM38"/>
    <mergeCell ref="EP38:EZ38"/>
    <mergeCell ref="FC38:FM38"/>
    <mergeCell ref="FP38:FZ38"/>
    <mergeCell ref="GC38:GM38"/>
    <mergeCell ref="GC39:GM39"/>
    <mergeCell ref="GP39:GZ39"/>
    <mergeCell ref="IP38:IV38"/>
    <mergeCell ref="CC39:CM39"/>
    <mergeCell ref="CP39:CZ39"/>
    <mergeCell ref="P39:Z39"/>
    <mergeCell ref="AC39:AM39"/>
    <mergeCell ref="AP39:AZ39"/>
    <mergeCell ref="HP39:HZ39"/>
    <mergeCell ref="IC39:IM39"/>
    <mergeCell ref="BC40:BM40"/>
    <mergeCell ref="BP40:BZ40"/>
    <mergeCell ref="FC40:FM40"/>
    <mergeCell ref="EC40:EM40"/>
    <mergeCell ref="EP40:EZ40"/>
    <mergeCell ref="HC39:HM39"/>
    <mergeCell ref="DC39:DM39"/>
    <mergeCell ref="DP39:DZ39"/>
    <mergeCell ref="EC39:EM39"/>
    <mergeCell ref="EP39:EZ39"/>
    <mergeCell ref="FP40:FZ40"/>
    <mergeCell ref="CC40:CM40"/>
    <mergeCell ref="CP40:CZ40"/>
    <mergeCell ref="DC40:DM40"/>
    <mergeCell ref="DP40:DZ40"/>
    <mergeCell ref="BP39:BZ39"/>
    <mergeCell ref="FC39:FM39"/>
    <mergeCell ref="FP39:FZ39"/>
    <mergeCell ref="IC40:IM40"/>
    <mergeCell ref="IP40:IV40"/>
    <mergeCell ref="GC40:GM40"/>
    <mergeCell ref="GP40:GZ40"/>
    <mergeCell ref="HC40:HM40"/>
    <mergeCell ref="HP40:H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2010-09-24T12:43:39Z</cp:lastPrinted>
  <dcterms:created xsi:type="dcterms:W3CDTF">1997-12-04T19:04:30Z</dcterms:created>
  <dcterms:modified xsi:type="dcterms:W3CDTF">2025-01-09T20:10:11Z</dcterms:modified>
</cp:coreProperties>
</file>