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AD39A51-0D6E-41B0-BD8A-83B29218473B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2EE928E5-5E1A-4B57-9EAF-C9678F177C2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1" i="1" l="1"/>
  <c r="F521" i="1"/>
  <c r="F485" i="1"/>
  <c r="G485" i="1"/>
  <c r="G489" i="1"/>
  <c r="G488" i="1"/>
  <c r="F489" i="1"/>
  <c r="F488" i="1"/>
  <c r="H449" i="1"/>
  <c r="F458" i="1"/>
  <c r="H617" i="1" s="1"/>
  <c r="F42" i="1"/>
  <c r="C41" i="2" s="1"/>
  <c r="C42" i="2" s="1"/>
  <c r="C43" i="2" s="1"/>
  <c r="J462" i="1"/>
  <c r="H628" i="1" s="1"/>
  <c r="J458" i="1"/>
  <c r="G462" i="1"/>
  <c r="F462" i="1"/>
  <c r="G449" i="1"/>
  <c r="G434" i="1"/>
  <c r="F360" i="1"/>
  <c r="F359" i="1"/>
  <c r="G41" i="1"/>
  <c r="C60" i="2"/>
  <c r="B2" i="13"/>
  <c r="F8" i="13"/>
  <c r="E8" i="13" s="1"/>
  <c r="G8" i="13"/>
  <c r="L196" i="1"/>
  <c r="L214" i="1"/>
  <c r="L232" i="1"/>
  <c r="D39" i="13"/>
  <c r="F13" i="13"/>
  <c r="G13" i="13"/>
  <c r="L198" i="1"/>
  <c r="L216" i="1"/>
  <c r="L234" i="1"/>
  <c r="C114" i="2" s="1"/>
  <c r="F16" i="13"/>
  <c r="E16" i="13" s="1"/>
  <c r="C16" i="13" s="1"/>
  <c r="G16" i="13"/>
  <c r="L201" i="1"/>
  <c r="L219" i="1"/>
  <c r="L237" i="1"/>
  <c r="F5" i="13"/>
  <c r="G5" i="13"/>
  <c r="L189" i="1"/>
  <c r="L203" i="1" s="1"/>
  <c r="L190" i="1"/>
  <c r="C102" i="2" s="1"/>
  <c r="L191" i="1"/>
  <c r="C12" i="10" s="1"/>
  <c r="L192" i="1"/>
  <c r="L207" i="1"/>
  <c r="L208" i="1"/>
  <c r="L209" i="1"/>
  <c r="L210" i="1"/>
  <c r="C13" i="10" s="1"/>
  <c r="L225" i="1"/>
  <c r="L226" i="1"/>
  <c r="L227" i="1"/>
  <c r="L228" i="1"/>
  <c r="F6" i="13"/>
  <c r="G6" i="13"/>
  <c r="G33" i="13" s="1"/>
  <c r="L194" i="1"/>
  <c r="L212" i="1"/>
  <c r="L230" i="1"/>
  <c r="F7" i="13"/>
  <c r="G7" i="13"/>
  <c r="L195" i="1"/>
  <c r="L213" i="1"/>
  <c r="L231" i="1"/>
  <c r="D7" i="13"/>
  <c r="C7" i="13" s="1"/>
  <c r="F12" i="13"/>
  <c r="D12" i="13" s="1"/>
  <c r="C12" i="13" s="1"/>
  <c r="G12" i="13"/>
  <c r="L197" i="1"/>
  <c r="L215" i="1"/>
  <c r="L233" i="1"/>
  <c r="F14" i="13"/>
  <c r="G14" i="13"/>
  <c r="L199" i="1"/>
  <c r="L217" i="1"/>
  <c r="L235" i="1"/>
  <c r="D14" i="13"/>
  <c r="C14" i="13" s="1"/>
  <c r="F15" i="13"/>
  <c r="D15" i="13" s="1"/>
  <c r="C15" i="13" s="1"/>
  <c r="G15" i="13"/>
  <c r="L200" i="1"/>
  <c r="L218" i="1"/>
  <c r="L236" i="1"/>
  <c r="F17" i="13"/>
  <c r="G17" i="13"/>
  <c r="L243" i="1"/>
  <c r="D17" i="13" s="1"/>
  <c r="C17" i="13" s="1"/>
  <c r="F18" i="13"/>
  <c r="G18" i="13"/>
  <c r="L244" i="1"/>
  <c r="C24" i="10" s="1"/>
  <c r="D18" i="13"/>
  <c r="C18" i="13" s="1"/>
  <c r="F19" i="13"/>
  <c r="G19" i="13"/>
  <c r="L245" i="1"/>
  <c r="D19" i="13"/>
  <c r="C19" i="13" s="1"/>
  <c r="F29" i="13"/>
  <c r="G29" i="13"/>
  <c r="L350" i="1"/>
  <c r="L351" i="1"/>
  <c r="L352" i="1"/>
  <c r="I359" i="1"/>
  <c r="I361" i="1" s="1"/>
  <c r="H624" i="1" s="1"/>
  <c r="J282" i="1"/>
  <c r="F31" i="13" s="1"/>
  <c r="J301" i="1"/>
  <c r="J320" i="1"/>
  <c r="K282" i="1"/>
  <c r="G31" i="13" s="1"/>
  <c r="K301" i="1"/>
  <c r="K320" i="1"/>
  <c r="L268" i="1"/>
  <c r="L269" i="1"/>
  <c r="L270" i="1"/>
  <c r="L282" i="1" s="1"/>
  <c r="L271" i="1"/>
  <c r="L273" i="1"/>
  <c r="C15" i="10" s="1"/>
  <c r="L274" i="1"/>
  <c r="L275" i="1"/>
  <c r="L276" i="1"/>
  <c r="L277" i="1"/>
  <c r="L278" i="1"/>
  <c r="C20" i="10" s="1"/>
  <c r="L279" i="1"/>
  <c r="C21" i="10" s="1"/>
  <c r="L280" i="1"/>
  <c r="L287" i="1"/>
  <c r="L288" i="1"/>
  <c r="E102" i="2" s="1"/>
  <c r="L289" i="1"/>
  <c r="L290" i="1"/>
  <c r="L292" i="1"/>
  <c r="L293" i="1"/>
  <c r="L294" i="1"/>
  <c r="L295" i="1"/>
  <c r="L296" i="1"/>
  <c r="L297" i="1"/>
  <c r="L298" i="1"/>
  <c r="L299" i="1"/>
  <c r="L306" i="1"/>
  <c r="E101" i="2" s="1"/>
  <c r="L307" i="1"/>
  <c r="L308" i="1"/>
  <c r="L320" i="1" s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L333" i="1"/>
  <c r="L334" i="1"/>
  <c r="H25" i="13"/>
  <c r="C25" i="13" s="1"/>
  <c r="L247" i="1"/>
  <c r="F22" i="13" s="1"/>
  <c r="C22" i="13" s="1"/>
  <c r="L328" i="1"/>
  <c r="C11" i="13"/>
  <c r="C10" i="13"/>
  <c r="C9" i="13"/>
  <c r="L353" i="1"/>
  <c r="L354" i="1"/>
  <c r="G625" i="1" s="1"/>
  <c r="J625" i="1" s="1"/>
  <c r="B4" i="12"/>
  <c r="B36" i="12"/>
  <c r="C36" i="12"/>
  <c r="B40" i="12"/>
  <c r="A40" i="12" s="1"/>
  <c r="C40" i="12"/>
  <c r="B27" i="12"/>
  <c r="C27" i="12"/>
  <c r="B31" i="12"/>
  <c r="C31" i="12"/>
  <c r="A31" i="12" s="1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G48" i="2"/>
  <c r="G55" i="2" s="1"/>
  <c r="G51" i="2"/>
  <c r="G53" i="2"/>
  <c r="G54" i="2"/>
  <c r="F2" i="11"/>
  <c r="L603" i="1"/>
  <c r="H653" i="1" s="1"/>
  <c r="L602" i="1"/>
  <c r="G653" i="1" s="1"/>
  <c r="L601" i="1"/>
  <c r="F653" i="1" s="1"/>
  <c r="I653" i="1" s="1"/>
  <c r="C40" i="10"/>
  <c r="F52" i="1"/>
  <c r="F104" i="1" s="1"/>
  <c r="G52" i="1"/>
  <c r="H52" i="1"/>
  <c r="I52" i="1"/>
  <c r="C35" i="10" s="1"/>
  <c r="F71" i="1"/>
  <c r="F86" i="1"/>
  <c r="F103" i="1"/>
  <c r="G103" i="1"/>
  <c r="G104" i="1" s="1"/>
  <c r="H71" i="1"/>
  <c r="E49" i="2" s="1"/>
  <c r="E54" i="2" s="1"/>
  <c r="H86" i="1"/>
  <c r="H103" i="1"/>
  <c r="I103" i="1"/>
  <c r="J103" i="1"/>
  <c r="C37" i="10"/>
  <c r="F113" i="1"/>
  <c r="F128" i="1"/>
  <c r="F132" i="1"/>
  <c r="G113" i="1"/>
  <c r="G128" i="1"/>
  <c r="G132" i="1"/>
  <c r="H113" i="1"/>
  <c r="H132" i="1" s="1"/>
  <c r="H128" i="1"/>
  <c r="I113" i="1"/>
  <c r="I128" i="1"/>
  <c r="I132" i="1"/>
  <c r="J113" i="1"/>
  <c r="J128" i="1"/>
  <c r="J132" i="1"/>
  <c r="F139" i="1"/>
  <c r="F154" i="1"/>
  <c r="F161" i="1"/>
  <c r="C39" i="10" s="1"/>
  <c r="G139" i="1"/>
  <c r="G161" i="1" s="1"/>
  <c r="G154" i="1"/>
  <c r="H139" i="1"/>
  <c r="H154" i="1"/>
  <c r="H161" i="1"/>
  <c r="I139" i="1"/>
  <c r="I161" i="1" s="1"/>
  <c r="I154" i="1"/>
  <c r="C11" i="10"/>
  <c r="C16" i="10"/>
  <c r="C17" i="10"/>
  <c r="C18" i="10"/>
  <c r="L242" i="1"/>
  <c r="C105" i="2" s="1"/>
  <c r="L324" i="1"/>
  <c r="E105" i="2" s="1"/>
  <c r="C23" i="10"/>
  <c r="L246" i="1"/>
  <c r="C25" i="10"/>
  <c r="L260" i="1"/>
  <c r="C26" i="10" s="1"/>
  <c r="L261" i="1"/>
  <c r="L341" i="1"/>
  <c r="L342" i="1"/>
  <c r="I655" i="1"/>
  <c r="I660" i="1"/>
  <c r="F651" i="1"/>
  <c r="I651" i="1" s="1"/>
  <c r="G651" i="1"/>
  <c r="H651" i="1"/>
  <c r="F652" i="1"/>
  <c r="I652" i="1" s="1"/>
  <c r="G652" i="1"/>
  <c r="H652" i="1"/>
  <c r="I659" i="1"/>
  <c r="C6" i="10"/>
  <c r="C5" i="10"/>
  <c r="C42" i="10"/>
  <c r="C32" i="10"/>
  <c r="L366" i="1"/>
  <c r="L367" i="1"/>
  <c r="L368" i="1"/>
  <c r="L369" i="1"/>
  <c r="L370" i="1"/>
  <c r="L371" i="1"/>
  <c r="L372" i="1"/>
  <c r="B2" i="10"/>
  <c r="L336" i="1"/>
  <c r="L343" i="1" s="1"/>
  <c r="L337" i="1"/>
  <c r="L338" i="1"/>
  <c r="L339" i="1"/>
  <c r="K343" i="1"/>
  <c r="L511" i="1"/>
  <c r="F539" i="1" s="1"/>
  <c r="L512" i="1"/>
  <c r="F540" i="1" s="1"/>
  <c r="K540" i="1" s="1"/>
  <c r="L513" i="1"/>
  <c r="F541" i="1"/>
  <c r="L516" i="1"/>
  <c r="G539" i="1" s="1"/>
  <c r="L517" i="1"/>
  <c r="G540" i="1" s="1"/>
  <c r="L518" i="1"/>
  <c r="G541" i="1"/>
  <c r="L521" i="1"/>
  <c r="H539" i="1" s="1"/>
  <c r="L522" i="1"/>
  <c r="H540" i="1"/>
  <c r="L523" i="1"/>
  <c r="H541" i="1" s="1"/>
  <c r="L526" i="1"/>
  <c r="I539" i="1" s="1"/>
  <c r="I542" i="1" s="1"/>
  <c r="L527" i="1"/>
  <c r="I540" i="1"/>
  <c r="L528" i="1"/>
  <c r="L529" i="1" s="1"/>
  <c r="I541" i="1"/>
  <c r="L531" i="1"/>
  <c r="J539" i="1"/>
  <c r="L532" i="1"/>
  <c r="J540" i="1" s="1"/>
  <c r="L533" i="1"/>
  <c r="J541" i="1" s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C19" i="2" s="1"/>
  <c r="D9" i="2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F12" i="2"/>
  <c r="I433" i="1"/>
  <c r="J12" i="1"/>
  <c r="G12" i="2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E19" i="2"/>
  <c r="F19" i="2"/>
  <c r="C22" i="2"/>
  <c r="D22" i="2"/>
  <c r="E22" i="2"/>
  <c r="F22" i="2"/>
  <c r="I440" i="1"/>
  <c r="J23" i="1" s="1"/>
  <c r="C23" i="2"/>
  <c r="D23" i="2"/>
  <c r="D32" i="2" s="1"/>
  <c r="E23" i="2"/>
  <c r="E32" i="2" s="1"/>
  <c r="F23" i="2"/>
  <c r="F32" i="2" s="1"/>
  <c r="I441" i="1"/>
  <c r="J24" i="1" s="1"/>
  <c r="G23" i="2" s="1"/>
  <c r="C24" i="2"/>
  <c r="D24" i="2"/>
  <c r="E24" i="2"/>
  <c r="F24" i="2"/>
  <c r="I442" i="1"/>
  <c r="J25" i="1" s="1"/>
  <c r="G24" i="2" s="1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D42" i="2" s="1"/>
  <c r="D43" i="2" s="1"/>
  <c r="E37" i="2"/>
  <c r="F37" i="2"/>
  <c r="F42" i="2" s="1"/>
  <c r="F43" i="2" s="1"/>
  <c r="I447" i="1"/>
  <c r="J38" i="1" s="1"/>
  <c r="G37" i="2" s="1"/>
  <c r="C38" i="2"/>
  <c r="D38" i="2"/>
  <c r="E38" i="2"/>
  <c r="F38" i="2"/>
  <c r="I448" i="1"/>
  <c r="J40" i="1"/>
  <c r="G39" i="2"/>
  <c r="C40" i="2"/>
  <c r="D40" i="2"/>
  <c r="E40" i="2"/>
  <c r="F40" i="2"/>
  <c r="I449" i="1"/>
  <c r="J41" i="1"/>
  <c r="G40" i="2" s="1"/>
  <c r="D41" i="2"/>
  <c r="E41" i="2"/>
  <c r="F41" i="2"/>
  <c r="E42" i="2"/>
  <c r="C48" i="2"/>
  <c r="D48" i="2"/>
  <c r="E48" i="2"/>
  <c r="E55" i="2" s="1"/>
  <c r="E96" i="2" s="1"/>
  <c r="F48" i="2"/>
  <c r="C49" i="2"/>
  <c r="C54" i="2" s="1"/>
  <c r="C55" i="2" s="1"/>
  <c r="C50" i="2"/>
  <c r="E50" i="2"/>
  <c r="C51" i="2"/>
  <c r="D51" i="2"/>
  <c r="D54" i="2" s="1"/>
  <c r="D55" i="2" s="1"/>
  <c r="E51" i="2"/>
  <c r="F51" i="2"/>
  <c r="D52" i="2"/>
  <c r="C53" i="2"/>
  <c r="D53" i="2"/>
  <c r="E53" i="2"/>
  <c r="F53" i="2"/>
  <c r="F54" i="2" s="1"/>
  <c r="C58" i="2"/>
  <c r="C59" i="2"/>
  <c r="C62" i="2" s="1"/>
  <c r="C61" i="2"/>
  <c r="D61" i="2"/>
  <c r="D62" i="2" s="1"/>
  <c r="E61" i="2"/>
  <c r="E62" i="2" s="1"/>
  <c r="E73" i="2" s="1"/>
  <c r="F61" i="2"/>
  <c r="G61" i="2"/>
  <c r="G62" i="2" s="1"/>
  <c r="F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F69" i="2"/>
  <c r="G69" i="2"/>
  <c r="G70" i="2" s="1"/>
  <c r="G73" i="2" s="1"/>
  <c r="C70" i="2"/>
  <c r="C73" i="2" s="1"/>
  <c r="D70" i="2"/>
  <c r="D73" i="2" s="1"/>
  <c r="E70" i="2"/>
  <c r="C71" i="2"/>
  <c r="D71" i="2"/>
  <c r="E71" i="2"/>
  <c r="C72" i="2"/>
  <c r="E72" i="2"/>
  <c r="C77" i="2"/>
  <c r="D77" i="2"/>
  <c r="E77" i="2"/>
  <c r="E83" i="2" s="1"/>
  <c r="C79" i="2"/>
  <c r="E79" i="2"/>
  <c r="F79" i="2"/>
  <c r="C80" i="2"/>
  <c r="D80" i="2"/>
  <c r="D83" i="2" s="1"/>
  <c r="E80" i="2"/>
  <c r="F80" i="2"/>
  <c r="C81" i="2"/>
  <c r="C83" i="2" s="1"/>
  <c r="D81" i="2"/>
  <c r="E81" i="2"/>
  <c r="F81" i="2"/>
  <c r="C82" i="2"/>
  <c r="C85" i="2"/>
  <c r="C95" i="2" s="1"/>
  <c r="F85" i="2"/>
  <c r="C86" i="2"/>
  <c r="F86" i="2"/>
  <c r="D88" i="2"/>
  <c r="E88" i="2"/>
  <c r="E95" i="2" s="1"/>
  <c r="F88" i="2"/>
  <c r="G88" i="2"/>
  <c r="C89" i="2"/>
  <c r="D89" i="2"/>
  <c r="D95" i="2" s="1"/>
  <c r="E89" i="2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F95" i="2"/>
  <c r="C104" i="2"/>
  <c r="E104" i="2"/>
  <c r="D107" i="2"/>
  <c r="F107" i="2"/>
  <c r="G107" i="2"/>
  <c r="C110" i="2"/>
  <c r="C120" i="2" s="1"/>
  <c r="C111" i="2"/>
  <c r="E111" i="2"/>
  <c r="C112" i="2"/>
  <c r="E112" i="2"/>
  <c r="C113" i="2"/>
  <c r="E113" i="2"/>
  <c r="E114" i="2"/>
  <c r="C115" i="2"/>
  <c r="E115" i="2"/>
  <c r="C116" i="2"/>
  <c r="E116" i="2"/>
  <c r="C117" i="2"/>
  <c r="E117" i="2"/>
  <c r="D119" i="2"/>
  <c r="D120" i="2"/>
  <c r="F120" i="2"/>
  <c r="F137" i="2" s="1"/>
  <c r="G120" i="2"/>
  <c r="E122" i="2"/>
  <c r="F122" i="2"/>
  <c r="F136" i="2" s="1"/>
  <c r="D126" i="2"/>
  <c r="D136" i="2" s="1"/>
  <c r="D137" i="2" s="1"/>
  <c r="E126" i="2"/>
  <c r="E136" i="2" s="1"/>
  <c r="F126" i="2"/>
  <c r="K411" i="1"/>
  <c r="K419" i="1"/>
  <c r="K425" i="1"/>
  <c r="K426" i="1" s="1"/>
  <c r="G126" i="2" s="1"/>
  <c r="G136" i="2" s="1"/>
  <c r="G137" i="2" s="1"/>
  <c r="L255" i="1"/>
  <c r="C127" i="2" s="1"/>
  <c r="E127" i="2"/>
  <c r="L256" i="1"/>
  <c r="C128" i="2" s="1"/>
  <c r="L257" i="1"/>
  <c r="C129" i="2" s="1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 s="1"/>
  <c r="B149" i="2"/>
  <c r="G149" i="2" s="1"/>
  <c r="C149" i="2"/>
  <c r="D149" i="2"/>
  <c r="E149" i="2"/>
  <c r="F149" i="2"/>
  <c r="B150" i="2"/>
  <c r="C150" i="2"/>
  <c r="D150" i="2"/>
  <c r="E150" i="2"/>
  <c r="F150" i="2"/>
  <c r="G150" i="2" s="1"/>
  <c r="B151" i="2"/>
  <c r="G151" i="2" s="1"/>
  <c r="C151" i="2"/>
  <c r="D151" i="2"/>
  <c r="E151" i="2"/>
  <c r="F151" i="2"/>
  <c r="B152" i="2"/>
  <c r="C152" i="2"/>
  <c r="D152" i="2"/>
  <c r="E152" i="2"/>
  <c r="F152" i="2"/>
  <c r="G152" i="2" s="1"/>
  <c r="F490" i="1"/>
  <c r="B153" i="2" s="1"/>
  <c r="G153" i="2" s="1"/>
  <c r="G490" i="1"/>
  <c r="C153" i="2"/>
  <c r="H490" i="1"/>
  <c r="D153" i="2" s="1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/>
  <c r="G493" i="1"/>
  <c r="C156" i="2" s="1"/>
  <c r="H493" i="1"/>
  <c r="D156" i="2"/>
  <c r="I493" i="1"/>
  <c r="E156" i="2"/>
  <c r="J493" i="1"/>
  <c r="F156" i="2" s="1"/>
  <c r="F19" i="1"/>
  <c r="G607" i="1" s="1"/>
  <c r="G19" i="1"/>
  <c r="G608" i="1" s="1"/>
  <c r="H19" i="1"/>
  <c r="G609" i="1" s="1"/>
  <c r="I19" i="1"/>
  <c r="F33" i="1"/>
  <c r="G33" i="1"/>
  <c r="H33" i="1"/>
  <c r="I33" i="1"/>
  <c r="G43" i="1"/>
  <c r="G44" i="1" s="1"/>
  <c r="H608" i="1" s="1"/>
  <c r="H43" i="1"/>
  <c r="H44" i="1" s="1"/>
  <c r="H609" i="1" s="1"/>
  <c r="I43" i="1"/>
  <c r="G615" i="1" s="1"/>
  <c r="F169" i="1"/>
  <c r="F184" i="1" s="1"/>
  <c r="I169" i="1"/>
  <c r="I184" i="1" s="1"/>
  <c r="F175" i="1"/>
  <c r="G175" i="1"/>
  <c r="H175" i="1"/>
  <c r="H184" i="1" s="1"/>
  <c r="I175" i="1"/>
  <c r="J175" i="1"/>
  <c r="G635" i="1" s="1"/>
  <c r="F180" i="1"/>
  <c r="G180" i="1"/>
  <c r="H180" i="1"/>
  <c r="I180" i="1"/>
  <c r="G184" i="1"/>
  <c r="F203" i="1"/>
  <c r="G203" i="1"/>
  <c r="G249" i="1" s="1"/>
  <c r="G263" i="1" s="1"/>
  <c r="H203" i="1"/>
  <c r="I203" i="1"/>
  <c r="J203" i="1"/>
  <c r="J249" i="1" s="1"/>
  <c r="K203" i="1"/>
  <c r="F221" i="1"/>
  <c r="G221" i="1"/>
  <c r="H221" i="1"/>
  <c r="H249" i="1" s="1"/>
  <c r="H263" i="1" s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49" i="1"/>
  <c r="K249" i="1"/>
  <c r="L262" i="1"/>
  <c r="F263" i="1"/>
  <c r="K263" i="1"/>
  <c r="F282" i="1"/>
  <c r="F330" i="1" s="1"/>
  <c r="F344" i="1" s="1"/>
  <c r="G282" i="1"/>
  <c r="H282" i="1"/>
  <c r="I282" i="1"/>
  <c r="I330" i="1" s="1"/>
  <c r="I344" i="1" s="1"/>
  <c r="F301" i="1"/>
  <c r="G301" i="1"/>
  <c r="G330" i="1" s="1"/>
  <c r="G344" i="1" s="1"/>
  <c r="H301" i="1"/>
  <c r="H330" i="1" s="1"/>
  <c r="H344" i="1" s="1"/>
  <c r="I301" i="1"/>
  <c r="F320" i="1"/>
  <c r="G320" i="1"/>
  <c r="H320" i="1"/>
  <c r="I320" i="1"/>
  <c r="F329" i="1"/>
  <c r="G329" i="1"/>
  <c r="H329" i="1"/>
  <c r="I329" i="1"/>
  <c r="L329" i="1" s="1"/>
  <c r="J329" i="1"/>
  <c r="K329" i="1"/>
  <c r="K330" i="1" s="1"/>
  <c r="K344" i="1" s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F385" i="1"/>
  <c r="G385" i="1"/>
  <c r="G400" i="1" s="1"/>
  <c r="H635" i="1" s="1"/>
  <c r="H385" i="1"/>
  <c r="I385" i="1"/>
  <c r="F393" i="1"/>
  <c r="G393" i="1"/>
  <c r="H393" i="1"/>
  <c r="I393" i="1"/>
  <c r="I400" i="1" s="1"/>
  <c r="F399" i="1"/>
  <c r="G399" i="1"/>
  <c r="H399" i="1"/>
  <c r="I399" i="1"/>
  <c r="F400" i="1"/>
  <c r="H633" i="1" s="1"/>
  <c r="H400" i="1"/>
  <c r="L405" i="1"/>
  <c r="L411" i="1" s="1"/>
  <c r="L426" i="1" s="1"/>
  <c r="G628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J426" i="1" s="1"/>
  <c r="L425" i="1"/>
  <c r="F438" i="1"/>
  <c r="G438" i="1"/>
  <c r="H438" i="1"/>
  <c r="G631" i="1" s="1"/>
  <c r="J631" i="1" s="1"/>
  <c r="F444" i="1"/>
  <c r="F451" i="1" s="1"/>
  <c r="H629" i="1" s="1"/>
  <c r="G444" i="1"/>
  <c r="G451" i="1" s="1"/>
  <c r="H630" i="1" s="1"/>
  <c r="J630" i="1" s="1"/>
  <c r="H444" i="1"/>
  <c r="F450" i="1"/>
  <c r="G450" i="1"/>
  <c r="H450" i="1"/>
  <c r="I450" i="1"/>
  <c r="H451" i="1"/>
  <c r="H631" i="1" s="1"/>
  <c r="F460" i="1"/>
  <c r="F466" i="1" s="1"/>
  <c r="H612" i="1" s="1"/>
  <c r="G460" i="1"/>
  <c r="H460" i="1"/>
  <c r="I460" i="1"/>
  <c r="J460" i="1"/>
  <c r="F464" i="1"/>
  <c r="G464" i="1"/>
  <c r="H464" i="1"/>
  <c r="I464" i="1"/>
  <c r="G466" i="1"/>
  <c r="H613" i="1" s="1"/>
  <c r="H466" i="1"/>
  <c r="H614" i="1" s="1"/>
  <c r="J614" i="1" s="1"/>
  <c r="I466" i="1"/>
  <c r="H615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K514" i="1"/>
  <c r="K535" i="1" s="1"/>
  <c r="F519" i="1"/>
  <c r="G519" i="1"/>
  <c r="G535" i="1" s="1"/>
  <c r="H519" i="1"/>
  <c r="I519" i="1"/>
  <c r="J519" i="1"/>
  <c r="K519" i="1"/>
  <c r="L519" i="1"/>
  <c r="F524" i="1"/>
  <c r="G524" i="1"/>
  <c r="H524" i="1"/>
  <c r="I524" i="1"/>
  <c r="J524" i="1"/>
  <c r="J53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 s="1"/>
  <c r="L548" i="1"/>
  <c r="L549" i="1"/>
  <c r="F550" i="1"/>
  <c r="F561" i="1" s="1"/>
  <c r="G550" i="1"/>
  <c r="H550" i="1"/>
  <c r="I550" i="1"/>
  <c r="I561" i="1" s="1"/>
  <c r="J550" i="1"/>
  <c r="J561" i="1" s="1"/>
  <c r="K550" i="1"/>
  <c r="K561" i="1" s="1"/>
  <c r="L552" i="1"/>
  <c r="L553" i="1"/>
  <c r="L554" i="1"/>
  <c r="L555" i="1" s="1"/>
  <c r="F555" i="1"/>
  <c r="G555" i="1"/>
  <c r="G561" i="1" s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0" i="1"/>
  <c r="G613" i="1"/>
  <c r="G614" i="1"/>
  <c r="H618" i="1"/>
  <c r="H619" i="1"/>
  <c r="H620" i="1"/>
  <c r="H621" i="1"/>
  <c r="H622" i="1"/>
  <c r="H623" i="1"/>
  <c r="G624" i="1"/>
  <c r="H625" i="1"/>
  <c r="G626" i="1"/>
  <c r="H626" i="1"/>
  <c r="J626" i="1"/>
  <c r="H627" i="1"/>
  <c r="G629" i="1"/>
  <c r="G630" i="1"/>
  <c r="G633" i="1"/>
  <c r="J633" i="1" s="1"/>
  <c r="G634" i="1"/>
  <c r="H634" i="1"/>
  <c r="J634" i="1"/>
  <c r="H637" i="1"/>
  <c r="G639" i="1"/>
  <c r="J639" i="1" s="1"/>
  <c r="G640" i="1"/>
  <c r="J640" i="1" s="1"/>
  <c r="H640" i="1"/>
  <c r="G641" i="1"/>
  <c r="G642" i="1"/>
  <c r="H642" i="1"/>
  <c r="J642" i="1"/>
  <c r="G643" i="1"/>
  <c r="J643" i="1" s="1"/>
  <c r="H643" i="1"/>
  <c r="G644" i="1"/>
  <c r="J644" i="1" s="1"/>
  <c r="H644" i="1"/>
  <c r="G645" i="1"/>
  <c r="J645" i="1" s="1"/>
  <c r="H645" i="1"/>
  <c r="J635" i="1" l="1"/>
  <c r="G156" i="2"/>
  <c r="G36" i="2"/>
  <c r="G42" i="2" s="1"/>
  <c r="J43" i="1"/>
  <c r="G22" i="2"/>
  <c r="G32" i="2" s="1"/>
  <c r="J33" i="1"/>
  <c r="C38" i="10"/>
  <c r="C8" i="13"/>
  <c r="J628" i="1"/>
  <c r="F542" i="1"/>
  <c r="K539" i="1"/>
  <c r="J629" i="1"/>
  <c r="G96" i="2"/>
  <c r="J263" i="1"/>
  <c r="H638" i="1"/>
  <c r="E43" i="2"/>
  <c r="J185" i="1"/>
  <c r="J641" i="1"/>
  <c r="J613" i="1"/>
  <c r="J609" i="1"/>
  <c r="H542" i="1"/>
  <c r="J608" i="1"/>
  <c r="K541" i="1"/>
  <c r="F185" i="1"/>
  <c r="G617" i="1" s="1"/>
  <c r="J617" i="1" s="1"/>
  <c r="J638" i="1"/>
  <c r="D96" i="2"/>
  <c r="J542" i="1"/>
  <c r="F33" i="13"/>
  <c r="F650" i="1"/>
  <c r="J624" i="1"/>
  <c r="L561" i="1"/>
  <c r="J615" i="1"/>
  <c r="G542" i="1"/>
  <c r="L400" i="1"/>
  <c r="C130" i="2"/>
  <c r="C133" i="2" s="1"/>
  <c r="C96" i="2"/>
  <c r="G185" i="1"/>
  <c r="G618" i="1" s="1"/>
  <c r="J618" i="1" s="1"/>
  <c r="F55" i="2"/>
  <c r="J19" i="1"/>
  <c r="G611" i="1" s="1"/>
  <c r="G9" i="2"/>
  <c r="G19" i="2" s="1"/>
  <c r="I438" i="1"/>
  <c r="G632" i="1" s="1"/>
  <c r="J632" i="1" s="1"/>
  <c r="E110" i="2"/>
  <c r="E120" i="2" s="1"/>
  <c r="C10" i="10"/>
  <c r="H33" i="13"/>
  <c r="D29" i="13"/>
  <c r="C29" i="13" s="1"/>
  <c r="E13" i="13"/>
  <c r="C13" i="13" s="1"/>
  <c r="E103" i="2"/>
  <c r="E107" i="2" s="1"/>
  <c r="E137" i="2" s="1"/>
  <c r="J464" i="1"/>
  <c r="J466" i="1" s="1"/>
  <c r="H616" i="1" s="1"/>
  <c r="J184" i="1"/>
  <c r="C103" i="2"/>
  <c r="C29" i="10"/>
  <c r="L239" i="1"/>
  <c r="H650" i="1" s="1"/>
  <c r="H654" i="1" s="1"/>
  <c r="L301" i="1"/>
  <c r="D31" i="13" s="1"/>
  <c r="C31" i="13" s="1"/>
  <c r="C27" i="10"/>
  <c r="K490" i="1"/>
  <c r="F43" i="1"/>
  <c r="C122" i="2"/>
  <c r="C136" i="2" s="1"/>
  <c r="L221" i="1"/>
  <c r="C19" i="10"/>
  <c r="L514" i="1"/>
  <c r="L535" i="1" s="1"/>
  <c r="J330" i="1"/>
  <c r="J344" i="1" s="1"/>
  <c r="C101" i="2"/>
  <c r="F77" i="2"/>
  <c r="F83" i="2" s="1"/>
  <c r="I104" i="1"/>
  <c r="I185" i="1" s="1"/>
  <c r="G620" i="1" s="1"/>
  <c r="J620" i="1" s="1"/>
  <c r="I44" i="1"/>
  <c r="H610" i="1" s="1"/>
  <c r="J610" i="1" s="1"/>
  <c r="D6" i="13"/>
  <c r="C6" i="13" s="1"/>
  <c r="I444" i="1"/>
  <c r="I451" i="1" s="1"/>
  <c r="H632" i="1" s="1"/>
  <c r="C106" i="2"/>
  <c r="H104" i="1"/>
  <c r="H185" i="1" s="1"/>
  <c r="G619" i="1" s="1"/>
  <c r="J619" i="1" s="1"/>
  <c r="D5" i="13"/>
  <c r="D33" i="13" l="1"/>
  <c r="D36" i="13" s="1"/>
  <c r="C5" i="13"/>
  <c r="G650" i="1"/>
  <c r="G654" i="1" s="1"/>
  <c r="E33" i="13"/>
  <c r="D35" i="13" s="1"/>
  <c r="C28" i="10"/>
  <c r="C36" i="10"/>
  <c r="F44" i="1"/>
  <c r="H607" i="1" s="1"/>
  <c r="J607" i="1" s="1"/>
  <c r="G612" i="1"/>
  <c r="D27" i="10"/>
  <c r="G627" i="1"/>
  <c r="J627" i="1" s="1"/>
  <c r="H636" i="1"/>
  <c r="L330" i="1"/>
  <c r="L344" i="1" s="1"/>
  <c r="G623" i="1" s="1"/>
  <c r="J623" i="1" s="1"/>
  <c r="G616" i="1"/>
  <c r="J616" i="1" s="1"/>
  <c r="J44" i="1"/>
  <c r="H611" i="1" s="1"/>
  <c r="J611" i="1" s="1"/>
  <c r="H662" i="1"/>
  <c r="H657" i="1"/>
  <c r="G43" i="2"/>
  <c r="C107" i="2"/>
  <c r="C137" i="2" s="1"/>
  <c r="G636" i="1"/>
  <c r="J636" i="1" s="1"/>
  <c r="G621" i="1"/>
  <c r="J621" i="1" s="1"/>
  <c r="F654" i="1"/>
  <c r="K542" i="1"/>
  <c r="F96" i="2"/>
  <c r="L249" i="1"/>
  <c r="L263" i="1" s="1"/>
  <c r="G622" i="1" s="1"/>
  <c r="J622" i="1" s="1"/>
  <c r="J612" i="1" l="1"/>
  <c r="H646" i="1"/>
  <c r="C41" i="10"/>
  <c r="D22" i="10"/>
  <c r="C30" i="10"/>
  <c r="D25" i="10"/>
  <c r="D18" i="10"/>
  <c r="D11" i="10"/>
  <c r="D12" i="10"/>
  <c r="D24" i="10"/>
  <c r="D16" i="10"/>
  <c r="D13" i="10"/>
  <c r="D26" i="10"/>
  <c r="D15" i="10"/>
  <c r="D17" i="10"/>
  <c r="D20" i="10"/>
  <c r="D23" i="10"/>
  <c r="D21" i="10"/>
  <c r="D10" i="10"/>
  <c r="I650" i="1"/>
  <c r="I654" i="1" s="1"/>
  <c r="G662" i="1"/>
  <c r="G657" i="1"/>
  <c r="F662" i="1"/>
  <c r="C4" i="10" s="1"/>
  <c r="F657" i="1"/>
  <c r="D19" i="10"/>
  <c r="I657" i="1" l="1"/>
  <c r="I662" i="1"/>
  <c r="C7" i="10" s="1"/>
  <c r="D37" i="10"/>
  <c r="D39" i="10"/>
  <c r="D35" i="10"/>
  <c r="D41" i="10" s="1"/>
  <c r="D40" i="10"/>
  <c r="D38" i="10"/>
  <c r="D28" i="10"/>
  <c r="D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03BCE8D-377D-432F-9E59-69F426DCDF6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FC8BA1F-E2A2-4E29-91E9-6BC328460B6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5021DB6-BA97-4A00-A20A-4B8DCC72614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F41B972-1CCB-45AC-AEA5-AFDAFC2A215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BD5A76DC-629A-43C3-AF7D-FD8BC4DF7B2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8BACB4A-DA8E-4D1D-98BF-EEBED18D3F2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C3354AD-71DD-4855-B857-7FA964509B8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B22E6280-2C0B-4024-8ABA-42C4B2679F4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EE577D8-0DE0-4A3B-BAB8-901E0D2D9D7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B329962-F5B6-4866-81AB-724661D18CA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4F84427-B32D-4510-8DF0-10296114AC4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184B7E8-F10B-490C-B38C-2452B73A698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<sst xmlns="http://schemas.openxmlformats.org/spreadsheetml/2006/main" count="3865" uniqueCount="901">
  <si>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</si>
  <si>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</si>
  <si>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</si>
  <si>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</si>
  <si>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</si>
  <si>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</si>
  <si>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</si>
  <si>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</si>
  <si>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</si>
  <si>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</si>
  <si>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</si>
  <si>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</si>
  <si>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</si>
  <si>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</si>
  <si>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</si>
  <si>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</si>
  <si>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</si>
  <si>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</si>
  <si>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</si>
  <si>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</si>
  <si>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</si>
  <si>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</si>
  <si>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</si>
  <si>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</si>
  <si>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</si>
  <si>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</si>
  <si>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</si>
  <si>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</si>
  <si>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</si>
  <si>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</si>
  <si>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</si>
  <si>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</si>
  <si>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</si>
  <si>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</si>
  <si>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</si>
  <si>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</si>
  <si>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</si>
  <si>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</si>
  <si>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</si>
  <si>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</si>
  <si>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</si>
  <si>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</si>
  <si>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</si>
  <si>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</si>
  <si>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</si>
  <si>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</si>
  <si>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</si>
  <si>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</si>
  <si>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</si>
  <si>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</si>
  <si>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</si>
  <si>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</si>
  <si>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</si>
  <si>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</si>
  <si>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</si>
  <si>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</si>
  <si>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</si>
  <si>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</si>
  <si>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</si>
  <si>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</si>
  <si>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</si>
  <si>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</si>
  <si>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</si>
  <si>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</si>
  <si>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</si>
  <si>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</si>
  <si>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</si>
  <si>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</si>
  <si>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</si>
  <si>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</si>
  <si>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</si>
  <si>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</si>
  <si>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</si>
  <si>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</si>
  <si>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</si>
  <si>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</si>
  <si>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</si>
  <si>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</si>
  <si>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</si>
  <si>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</si>
  <si>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</si>
  <si>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</si>
  <si>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</si>
  <si>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</si>
  <si>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</si>
  <si>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</si>
  <si>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</si>
  <si>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</si>
  <si>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</si>
  <si>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</si>
  <si>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</si>
  <si>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</si>
  <si>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</si>
  <si>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</si>
  <si>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</si>
  <si>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</si>
  <si>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</si>
  <si>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</si>
  <si>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</si>
  <si>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</si>
  <si>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</si>
  <si>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</si>
  <si>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</si>
  <si>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</si>
  <si>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</si>
  <si>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</si>
  <si>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</si>
  <si>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</si>
  <si>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</si>
  <si>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</si>
  <si>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</si>
  <si>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</si>
  <si>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</si>
  <si>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</si>
  <si>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</si>
  <si>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</si>
  <si>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</si>
  <si>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</si>
  <si>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</si>
  <si>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</si>
  <si>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</si>
  <si>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</si>
  <si>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</si>
  <si>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</si>
  <si>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</si>
  <si>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</si>
  <si>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</si>
  <si>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</si>
  <si>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</si>
  <si>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</si>
  <si>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</si>
  <si>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</si>
  <si>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</si>
  <si>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</si>
  <si>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</si>
  <si>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</si>
  <si>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</si>
  <si>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</si>
  <si>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</si>
  <si>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</si>
  <si>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</si>
  <si>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</si>
  <si>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</si>
  <si>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</si>
  <si>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</si>
  <si>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</si>
  <si>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</si>
  <si>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</si>
  <si>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</si>
  <si>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</si>
  <si>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</si>
  <si>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</si>
  <si>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</si>
  <si>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</si>
  <si>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</si>
  <si>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</si>
  <si>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</si>
  <si>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</si>
  <si>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</si>
  <si>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</si>
  <si>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</si>
  <si>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</si>
  <si>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</si>
  <si>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</si>
  <si>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</si>
  <si>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</si>
  <si>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</si>
  <si>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</si>
  <si>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</si>
  <si>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</si>
  <si>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</si>
  <si>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</si>
  <si>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</si>
  <si>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</si>
  <si>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</si>
  <si>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</si>
  <si>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</si>
  <si>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</si>
  <si>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</si>
  <si>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</si>
  <si>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</si>
  <si>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</si>
  <si>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</si>
  <si>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</si>
  <si>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</si>
  <si>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</si>
  <si>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</si>
  <si>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</si>
  <si>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</si>
  <si>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</si>
  <si>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</si>
  <si>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</si>
  <si>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</si>
  <si>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</si>
  <si>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</si>
  <si>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</si>
  <si>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</si>
  <si>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</si>
  <si>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</si>
  <si>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</si>
  <si>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</si>
  <si>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</si>
  <si>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</si>
  <si>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</si>
  <si>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</si>
  <si>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</si>
  <si>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</si>
  <si>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</si>
  <si>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</si>
  <si>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</si>
  <si>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</si>
  <si>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</si>
  <si>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</si>
  <si>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</si>
  <si>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</si>
  <si>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</si>
  <si>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</si>
  <si>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</si>
  <si>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</si>
  <si>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</si>
  <si>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</si>
  <si>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</si>
  <si>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</si>
  <si>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</si>
  <si>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</si>
  <si>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</si>
  <si>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</si>
  <si>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</si>
  <si>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</si>
  <si>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</si>
  <si>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</si>
  <si>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</si>
  <si>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</si>
  <si>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</si>
  <si>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</si>
  <si>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</si>
  <si>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</si>
  <si>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</si>
  <si>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</si>
  <si>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</si>
  <si>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</si>
  <si>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</si>
  <si>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</si>
  <si>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</si>
  <si>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</si>
  <si>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</si>
  <si>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</si>
  <si>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</si>
  <si>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</si>
  <si>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</si>
  <si>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</si>
  <si>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</si>
  <si>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</si>
  <si>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</si>
  <si>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</si>
  <si>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</si>
  <si>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</si>
  <si>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</si>
  <si>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</si>
  <si>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</si>
  <si>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</si>
  <si>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</si>
  <si>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</si>
  <si>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</si>
  <si>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</si>
  <si>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</si>
  <si>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</si>
  <si>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</si>
  <si>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</si>
  <si>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</si>
  <si>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</si>
  <si>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</si>
  <si>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</si>
  <si>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</si>
  <si>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</si>
  <si>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</si>
  <si>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</si>
  <si>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</si>
  <si>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</si>
  <si>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</si>
  <si>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</si>
  <si>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</si>
  <si>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</si>
  <si>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</si>
  <si>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</si>
  <si>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</si>
  <si>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</si>
  <si>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</si>
  <si>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</si>
  <si>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</si>
  <si>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</si>
  <si>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</si>
  <si>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</si>
  <si>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</si>
  <si>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</si>
  <si>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</si>
  <si>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</si>
  <si>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</si>
  <si>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</si>
  <si>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</si>
  <si>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</si>
  <si>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</si>
  <si>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</si>
  <si>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</si>
  <si>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</si>
  <si>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</si>
  <si>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</si>
  <si>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</si>
  <si>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</si>
  <si>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</si>
  <si>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</si>
  <si>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</si>
  <si>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</si>
  <si>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</si>
  <si>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</si>
  <si>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</si>
  <si>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</si>
  <si>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</si>
  <si>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</si>
  <si>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</si>
  <si>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</si>
  <si>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</si>
  <si>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</si>
  <si>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</si>
  <si>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</si>
  <si>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</si>
  <si>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</si>
  <si>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</si>
  <si>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</si>
  <si>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</si>
  <si>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</si>
  <si>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</si>
  <si>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</si>
  <si>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</si>
  <si>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</si>
  <si>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</si>
  <si>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</si>
  <si>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</si>
  <si>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</si>
  <si>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</si>
  <si>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</si>
  <si>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</si>
  <si>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</si>
  <si>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</si>
  <si>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</si>
  <si>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</si>
  <si>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</si>
  <si>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</si>
  <si>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</si>
  <si>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</si>
  <si>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</si>
  <si>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</si>
  <si>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</si>
  <si>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</si>
  <si>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</si>
  <si>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</si>
  <si>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</si>
  <si>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</si>
  <si>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</si>
  <si>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</si>
  <si>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</si>
  <si>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</si>
  <si>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</si>
  <si>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</si>
  <si>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</si>
  <si>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</si>
  <si>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</si>
  <si>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</si>
  <si>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</si>
  <si>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</si>
  <si>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</si>
  <si>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</si>
  <si>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</si>
  <si>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</si>
  <si>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</si>
  <si>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</si>
  <si>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</si>
  <si>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</si>
  <si>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</si>
  <si>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</si>
  <si>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</si>
  <si>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</si>
  <si>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</si>
  <si>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</si>
  <si>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</si>
  <si>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</si>
  <si>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</si>
  <si>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</si>
  <si>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</si>
  <si>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</si>
  <si>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</si>
  <si>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</si>
  <si>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</si>
  <si>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</si>
  <si>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</si>
  <si>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</si>
  <si>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</si>
  <si>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</si>
  <si>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</si>
  <si>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</si>
  <si>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</si>
  <si>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</si>
  <si>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</si>
  <si>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</si>
  <si>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</si>
  <si>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</si>
  <si>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</si>
  <si>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</si>
  <si>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</si>
  <si>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</si>
  <si>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</si>
  <si>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</si>
  <si>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</si>
  <si>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</si>
  <si>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</si>
  <si>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</si>
  <si>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</si>
  <si>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</si>
  <si>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</si>
  <si>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</si>
  <si>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</si>
  <si>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</si>
  <si>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</si>
  <si>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</si>
  <si>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</si>
  <si>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</si>
  <si>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</si>
  <si>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</si>
  <si>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</si>
  <si>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</si>
  <si>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</si>
  <si>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</si>
  <si>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</si>
  <si>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</si>
  <si>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</si>
  <si>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</si>
  <si>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</si>
  <si>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</si>
  <si>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</si>
  <si>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</si>
  <si>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</si>
  <si>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</si>
  <si>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</si>
  <si>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</si>
  <si>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</si>
  <si>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</si>
  <si>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</si>
  <si>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</si>
  <si>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</si>
  <si>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</si>
  <si>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</si>
  <si>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</si>
  <si>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</si>
  <si>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</si>
  <si>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</si>
  <si>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</si>
  <si>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</si>
  <si>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</si>
  <si>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</si>
  <si>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</si>
  <si>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</si>
  <si>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</si>
  <si>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</si>
  <si>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</si>
  <si>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</si>
  <si>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</si>
  <si>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</si>
  <si>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</si>
  <si>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</si>
  <si>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</si>
  <si>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</si>
  <si>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</si>
  <si>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</si>
  <si>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</si>
  <si>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</si>
  <si>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</si>
  <si>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</si>
  <si>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</si>
  <si>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</si>
  <si>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</si>
  <si>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</si>
  <si>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</si>
  <si>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</si>
  <si>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</si>
  <si>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</si>
  <si>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</si>
  <si>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</si>
  <si>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</si>
  <si>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</si>
  <si>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</si>
  <si>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</si>
  <si>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</si>
  <si>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</si>
  <si>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</si>
  <si>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</si>
  <si>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</si>
  <si>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</si>
  <si>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</si>
  <si>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</si>
  <si>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</si>
  <si>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</si>
  <si>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</si>
  <si>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</si>
  <si>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</si>
  <si>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</si>
  <si>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</si>
  <si>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</si>
  <si>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</si>
  <si>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</si>
  <si>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</si>
  <si>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</si>
  <si>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</si>
  <si>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</si>
  <si>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</si>
  <si>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</si>
  <si>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</si>
  <si>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</si>
  <si>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</si>
  <si>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</si>
  <si>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</si>
  <si>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</si>
  <si>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</si>
  <si>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</si>
  <si>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</si>
  <si>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</si>
  <si>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</si>
  <si>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</si>
  <si>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</si>
  <si>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</si>
  <si>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</si>
  <si>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</si>
  <si>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</si>
  <si>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</si>
  <si>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</si>
  <si>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</si>
  <si>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</si>
  <si>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</si>
  <si>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</si>
  <si>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</si>
  <si>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</si>
  <si>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</si>
  <si>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</si>
  <si>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</si>
  <si>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</si>
  <si>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</si>
  <si>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</si>
  <si>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</si>
  <si>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</si>
  <si>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</si>
  <si>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</si>
  <si>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</si>
  <si>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</si>
  <si>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</si>
  <si>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</si>
  <si>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</si>
  <si>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</si>
  <si>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</si>
  <si>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</si>
  <si>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</si>
  <si>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</si>
  <si>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</si>
  <si>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</si>
  <si>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</si>
  <si>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</si>
  <si>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</si>
  <si>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</si>
  <si>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</si>
  <si>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</si>
  <si>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</si>
  <si>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</si>
  <si>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</si>
  <si>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</si>
  <si>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</si>
  <si>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</si>
  <si>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</si>
  <si>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</si>
  <si>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</si>
  <si>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</si>
  <si>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</si>
  <si>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</si>
  <si>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</si>
  <si>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</si>
  <si>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</si>
  <si>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</si>
  <si>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</si>
  <si>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</si>
  <si>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</si>
  <si>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</si>
  <si>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</si>
  <si>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</si>
  <si>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</si>
  <si>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</si>
  <si>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</si>
  <si>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</si>
  <si>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</si>
  <si>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</si>
  <si>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</si>
  <si>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</si>
  <si>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</si>
  <si>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</si>
  <si>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</si>
  <si>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</si>
  <si>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</si>
  <si>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</si>
  <si>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</si>
  <si>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</si>
  <si>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</si>
  <si>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</si>
  <si>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</si>
  <si>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</si>
  <si>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</si>
  <si>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</si>
  <si>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</si>
  <si>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</si>
  <si>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</si>
  <si>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</si>
  <si>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</si>
  <si>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</si>
  <si>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</si>
  <si>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</si>
  <si>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</si>
  <si>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</si>
  <si>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</si>
  <si>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</si>
  <si>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</si>
  <si>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</si>
  <si>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</si>
  <si>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</si>
  <si>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</si>
  <si>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</si>
  <si>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</si>
  <si>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</si>
  <si>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</si>
  <si>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</si>
  <si>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</si>
  <si>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</si>
  <si>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</si>
  <si>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</si>
  <si>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</si>
  <si>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</si>
  <si>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</si>
  <si>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</si>
  <si>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</si>
  <si>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</si>
  <si>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</si>
  <si>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</si>
  <si>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</si>
  <si>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</si>
  <si>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</si>
  <si>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</si>
  <si>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</si>
  <si>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</si>
  <si>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</si>
  <si>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</si>
  <si>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</si>
  <si>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</si>
  <si>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</si>
  <si>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</si>
  <si>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</si>
  <si>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</si>
  <si>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</si>
  <si>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</si>
  <si>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</si>
  <si>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</si>
  <si>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</si>
  <si>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</si>
  <si>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</si>
  <si>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</si>
  <si>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</si>
  <si>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</si>
  <si>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</si>
  <si>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</si>
  <si>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</si>
  <si>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</si>
  <si>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</si>
  <si>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</si>
  <si>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</si>
  <si>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</si>
  <si>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</si>
  <si>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</si>
  <si>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</si>
  <si>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</si>
  <si>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</si>
  <si>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</si>
  <si>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</si>
  <si>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</si>
  <si>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</si>
  <si>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</si>
  <si>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</si>
  <si>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</si>
  <si>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</si>
  <si>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</si>
  <si>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</si>
  <si>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</si>
  <si>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</si>
  <si>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</si>
  <si>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</si>
  <si>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</si>
  <si>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</si>
  <si>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</si>
  <si>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</si>
  <si>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</si>
  <si>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</si>
  <si>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</si>
  <si>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</si>
  <si>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</si>
  <si>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</si>
  <si>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</si>
  <si>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</si>
  <si>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</si>
  <si>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</si>
  <si>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</si>
  <si>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</si>
  <si>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</si>
  <si>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</si>
  <si>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</si>
  <si>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</si>
  <si>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</si>
  <si>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</si>
  <si>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</si>
  <si>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</si>
  <si>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</si>
  <si>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</si>
  <si>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</si>
  <si>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</si>
  <si>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</si>
  <si>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</si>
  <si>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</si>
  <si>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</si>
  <si>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</si>
  <si>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</si>
  <si>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</si>
  <si>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</si>
  <si>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</si>
  <si>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</si>
  <si>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</si>
  <si>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</si>
  <si>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</si>
  <si>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</si>
  <si>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</si>
  <si>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</si>
  <si>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</si>
  <si>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</si>
  <si>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</si>
  <si>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</si>
  <si>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</si>
  <si>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</si>
  <si>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</si>
  <si>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</si>
  <si>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</si>
  <si>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</si>
  <si>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</si>
  <si>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</si>
  <si>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</si>
  <si>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</si>
  <si>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</si>
  <si>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</si>
  <si>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</si>
  <si>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</si>
  <si>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</si>
  <si>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</si>
  <si>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</si>
  <si>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</si>
  <si>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</si>
  <si>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</si>
  <si>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</si>
  <si>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</si>
  <si>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</si>
  <si>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</si>
  <si>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</si>
  <si>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</si>
  <si>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</si>
  <si>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</si>
  <si>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</si>
  <si>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</si>
  <si>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</si>
  <si>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</si>
  <si>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</si>
  <si>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</si>
  <si>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</si>
  <si>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</si>
  <si>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</si>
  <si>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</si>
  <si>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</si>
  <si>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</si>
  <si>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</si>
  <si>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</si>
  <si>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</si>
  <si>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</si>
  <si>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</si>
  <si>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</si>
  <si>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</si>
  <si>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</si>
  <si>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</si>
  <si>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</si>
  <si>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</si>
  <si>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</si>
  <si>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</si>
  <si>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</si>
  <si>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</si>
  <si>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</si>
  <si>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</si>
  <si>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</si>
  <si>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</si>
  <si>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</si>
  <si>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</si>
  <si>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</si>
  <si>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</si>
  <si>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</si>
  <si>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</si>
  <si>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</si>
  <si>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</si>
  <si>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</si>
  <si>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</si>
  <si>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</si>
  <si>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</si>
  <si>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</si>
  <si>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</si>
  <si>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</si>
  <si>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</si>
  <si>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</si>
  <si>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</si>
  <si>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</si>
  <si>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</si>
  <si>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</si>
  <si>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</si>
  <si>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</si>
  <si>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</si>
  <si>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</si>
  <si>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</si>
  <si>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</si>
  <si>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</si>
  <si>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</si>
  <si>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</si>
  <si>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</si>
  <si>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</si>
  <si>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</si>
  <si>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</si>
  <si>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</si>
  <si>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</si>
  <si>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</si>
  <si>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</si>
  <si>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</si>
  <si>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</si>
  <si>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</si>
  <si>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</si>
  <si>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</si>
  <si>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</si>
  <si>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</si>
  <si>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</si>
  <si>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</si>
  <si>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</si>
  <si>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</si>
  <si>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</si>
  <si>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</si>
  <si>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</si>
  <si>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</si>
  <si>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</si>
  <si>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</si>
  <si>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</si>
  <si>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</si>
  <si>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</si>
  <si>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</si>
  <si>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</si>
  <si>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</si>
  <si>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</si>
  <si>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</si>
  <si>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</si>
  <si>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</si>
  <si>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</si>
  <si>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</si>
  <si>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</si>
  <si>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</si>
  <si>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</si>
  <si>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</si>
  <si>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</si>
  <si>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</si>
  <si>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</si>
  <si>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</si>
  <si>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</si>
  <si>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</si>
  <si>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</si>
  <si>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</si>
  <si>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</si>
  <si>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</si>
  <si>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</si>
  <si>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</si>
  <si>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</si>
  <si>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</si>
  <si>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</si>
  <si>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</si>
  <si>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</si>
  <si>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</si>
  <si>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</si>
  <si>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AGENCY FUNDS</t>
  </si>
  <si>
    <t>Audit Adjustment</t>
  </si>
  <si>
    <t>07/04</t>
  </si>
  <si>
    <t>06/00</t>
  </si>
  <si>
    <t>07/11</t>
  </si>
  <si>
    <t>10/09</t>
  </si>
  <si>
    <t>MONT VERNON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</si>
</sst>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2EB3-6DB4-41B5-AB7C-8EA8A36C627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O514" sqref="O51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367</v>
      </c>
      <c r="C2" s="21">
        <v>367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2458.39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344025.53</v>
      </c>
      <c r="G10" s="18">
        <v>4396.07</v>
      </c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35204.160000000003</v>
      </c>
      <c r="G12" s="18"/>
      <c r="H12" s="18"/>
      <c r="I12" s="18"/>
      <c r="J12" s="67">
        <f>SUM(I433)</f>
        <v>2046.24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13791.91</v>
      </c>
      <c r="G13" s="18">
        <v>1798.33</v>
      </c>
      <c r="H13" s="18">
        <v>41912.58</v>
      </c>
      <c r="I13" s="18"/>
      <c r="J13" s="67">
        <f>SUM(I434)</f>
        <v>33294.29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1425.39</v>
      </c>
      <c r="G14" s="18">
        <v>0</v>
      </c>
      <c r="H14" s="18">
        <v>0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396905.38000000006</v>
      </c>
      <c r="G19" s="41">
        <f>SUM(G9:G18)</f>
        <v>6194.4</v>
      </c>
      <c r="H19" s="41">
        <f>SUM(H9:H18)</f>
        <v>41912.58</v>
      </c>
      <c r="I19" s="41">
        <f>SUM(I9:I18)</f>
        <v>0</v>
      </c>
      <c r="J19" s="41">
        <f>SUM(J9:J18)</f>
        <v>35340.53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41646.47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2897.75</v>
      </c>
      <c r="G24" s="18">
        <v>2544.59</v>
      </c>
      <c r="H24" s="18">
        <v>0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2464</v>
      </c>
      <c r="G25" s="18">
        <v>0</v>
      </c>
      <c r="H25" s="18">
        <v>257.14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1267.03</v>
      </c>
      <c r="G29" s="18">
        <v>0</v>
      </c>
      <c r="H29" s="18">
        <v>0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329.66</v>
      </c>
      <c r="G30" s="18">
        <v>0</v>
      </c>
      <c r="H30" s="18">
        <v>0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10.47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282.10000000000002</v>
      </c>
      <c r="G32" s="18">
        <v>0</v>
      </c>
      <c r="H32" s="18">
        <v>0</v>
      </c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7240.54</v>
      </c>
      <c r="G33" s="41">
        <f>SUM(G23:G32)</f>
        <v>2544.59</v>
      </c>
      <c r="H33" s="41">
        <f>SUM(H23:H32)</f>
        <v>41914.080000000002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32120.74</v>
      </c>
      <c r="G37" s="18">
        <v>1578.87</v>
      </c>
      <c r="H37" s="18">
        <v>0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-1867.94+3938.88</f>
        <v>2070.94</v>
      </c>
      <c r="H41" s="18">
        <v>-1.5</v>
      </c>
      <c r="I41" s="18"/>
      <c r="J41" s="13">
        <f>SUM(I449)</f>
        <v>35340.529999999992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2193.68+377504.24+-22153.82</f>
        <v>357544.1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389664.83999999997</v>
      </c>
      <c r="G43" s="41">
        <f>SUM(G35:G42)</f>
        <v>3649.81</v>
      </c>
      <c r="H43" s="41">
        <f>SUM(H35:H42)</f>
        <v>-1.5</v>
      </c>
      <c r="I43" s="41">
        <f>SUM(I35:I42)</f>
        <v>0</v>
      </c>
      <c r="J43" s="41">
        <f>SUM(J35:J42)</f>
        <v>35340.529999999992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396905.37999999995</v>
      </c>
      <c r="G44" s="41">
        <f>G43+G33</f>
        <v>6194.4</v>
      </c>
      <c r="H44" s="41">
        <f>H43+H33</f>
        <v>41912.58</v>
      </c>
      <c r="I44" s="41">
        <f>I43+I33</f>
        <v>0</v>
      </c>
      <c r="J44" s="41">
        <f>J43+J33</f>
        <v>35340.529999999992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2529288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2529288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845.15</v>
      </c>
      <c r="G88" s="18"/>
      <c r="H88" s="18"/>
      <c r="I88" s="18"/>
      <c r="J88" s="18">
        <v>1148.3800000000001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49481.1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11070</v>
      </c>
      <c r="G94" s="18"/>
      <c r="H94" s="18">
        <v>420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16223.21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1004.01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0</v>
      </c>
      <c r="G102" s="18">
        <v>403</v>
      </c>
      <c r="H102" s="18"/>
      <c r="I102" s="18"/>
      <c r="J102" s="18">
        <v>555.01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29142.37</v>
      </c>
      <c r="G103" s="41">
        <f>SUM(G88:G102)</f>
        <v>49884.1</v>
      </c>
      <c r="H103" s="41">
        <f>SUM(H88:H102)</f>
        <v>420</v>
      </c>
      <c r="I103" s="41">
        <f>SUM(I88:I102)</f>
        <v>0</v>
      </c>
      <c r="J103" s="41">
        <f>SUM(J88:J102)</f>
        <v>1703.39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2558430.37</v>
      </c>
      <c r="G104" s="41">
        <f>G52+G103</f>
        <v>49884.1</v>
      </c>
      <c r="H104" s="41">
        <f>H52+H71+H86+H103</f>
        <v>420</v>
      </c>
      <c r="I104" s="41">
        <f>I52+I103</f>
        <v>0</v>
      </c>
      <c r="J104" s="41">
        <f>J52+J103</f>
        <v>1703.39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697122.86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388960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267465.14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1353548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67243.64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173587.4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682.98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240831.03999999998</v>
      </c>
      <c r="G128" s="41">
        <f>SUM(G115:G127)</f>
        <v>682.98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1594379.04</v>
      </c>
      <c r="G132" s="41">
        <f>G113+SUM(G128:G129)</f>
        <v>682.98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16540.009999999998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22040.18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37766.080000000002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14169.11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71019.990000000005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41128.080000000002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41128.080000000002</v>
      </c>
      <c r="G154" s="41">
        <f>SUM(G142:G153)</f>
        <v>14169.11</v>
      </c>
      <c r="H154" s="41">
        <f>SUM(H142:H153)</f>
        <v>147366.26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41128.080000000002</v>
      </c>
      <c r="G161" s="41">
        <f>G139+G154+SUM(G155:G160)</f>
        <v>14169.11</v>
      </c>
      <c r="H161" s="41">
        <f>H139+H154+SUM(H155:H160)</f>
        <v>147366.26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62348.79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62348.79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62348.79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4256286.28</v>
      </c>
      <c r="G185" s="47">
        <f>G104+G132+G161+G184</f>
        <v>64736.19</v>
      </c>
      <c r="H185" s="47">
        <f>H104+H132+H161+H184</f>
        <v>147786.26</v>
      </c>
      <c r="I185" s="47">
        <f>I104+I132+I161+I184</f>
        <v>0</v>
      </c>
      <c r="J185" s="47">
        <f>J104+J132+J184</f>
        <v>1703.39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783609.83</v>
      </c>
      <c r="G189" s="18">
        <v>239045.15</v>
      </c>
      <c r="H189" s="18">
        <v>21312.639999999999</v>
      </c>
      <c r="I189" s="18">
        <v>62771.18</v>
      </c>
      <c r="J189" s="18">
        <v>8952.83</v>
      </c>
      <c r="K189" s="18">
        <v>0</v>
      </c>
      <c r="L189" s="19">
        <f>SUM(F189:K189)</f>
        <v>1115691.6300000001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380003.13</v>
      </c>
      <c r="G190" s="18">
        <v>87436.07</v>
      </c>
      <c r="H190" s="18">
        <v>346506.65</v>
      </c>
      <c r="I190" s="18">
        <v>5901.87</v>
      </c>
      <c r="J190" s="18">
        <v>2511.5100000000002</v>
      </c>
      <c r="K190" s="18">
        <v>0</v>
      </c>
      <c r="L190" s="19">
        <f>SUM(F190:K190)</f>
        <v>822359.2300000001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5183</v>
      </c>
      <c r="G192" s="18">
        <v>541.49</v>
      </c>
      <c r="H192" s="18">
        <v>0</v>
      </c>
      <c r="I192" s="18">
        <v>499.28</v>
      </c>
      <c r="J192" s="18">
        <v>0</v>
      </c>
      <c r="K192" s="18">
        <v>0</v>
      </c>
      <c r="L192" s="19">
        <f>SUM(F192:K192)</f>
        <v>6223.7699999999995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94904</v>
      </c>
      <c r="G194" s="18">
        <v>28781.29</v>
      </c>
      <c r="H194" s="18">
        <v>5202.71</v>
      </c>
      <c r="I194" s="18">
        <v>1162.6199999999999</v>
      </c>
      <c r="J194" s="18">
        <v>0</v>
      </c>
      <c r="K194" s="18">
        <v>0</v>
      </c>
      <c r="L194" s="19">
        <f t="shared" ref="L194:L200" si="0">SUM(F194:K194)</f>
        <v>130050.62000000001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80870.86</v>
      </c>
      <c r="G195" s="18">
        <v>36238.49</v>
      </c>
      <c r="H195" s="18">
        <v>340.82</v>
      </c>
      <c r="I195" s="18">
        <v>11953.65</v>
      </c>
      <c r="J195" s="18">
        <v>0</v>
      </c>
      <c r="K195" s="18">
        <v>0</v>
      </c>
      <c r="L195" s="19">
        <f t="shared" si="0"/>
        <v>129403.82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2842</v>
      </c>
      <c r="G196" s="18">
        <v>234.52</v>
      </c>
      <c r="H196" s="18">
        <v>182757.27</v>
      </c>
      <c r="I196" s="18">
        <v>416.61</v>
      </c>
      <c r="J196" s="18">
        <v>0</v>
      </c>
      <c r="K196" s="18">
        <v>3232.61</v>
      </c>
      <c r="L196" s="19">
        <f t="shared" si="0"/>
        <v>189483.00999999995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124748.53</v>
      </c>
      <c r="G197" s="18">
        <v>62424.01</v>
      </c>
      <c r="H197" s="18">
        <v>3343.7</v>
      </c>
      <c r="I197" s="18">
        <v>2583.85</v>
      </c>
      <c r="J197" s="18">
        <v>0</v>
      </c>
      <c r="K197" s="18">
        <v>670</v>
      </c>
      <c r="L197" s="19">
        <f t="shared" si="0"/>
        <v>193770.09000000003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83800.59</v>
      </c>
      <c r="G199" s="18">
        <v>27931.23</v>
      </c>
      <c r="H199" s="18">
        <v>50237.85</v>
      </c>
      <c r="I199" s="18">
        <v>69945.36</v>
      </c>
      <c r="J199" s="18">
        <v>10100</v>
      </c>
      <c r="K199" s="18">
        <v>0</v>
      </c>
      <c r="L199" s="19">
        <f t="shared" si="0"/>
        <v>242015.02999999997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136887.44</v>
      </c>
      <c r="I200" s="18">
        <v>0</v>
      </c>
      <c r="J200" s="18">
        <v>0</v>
      </c>
      <c r="K200" s="18">
        <v>0</v>
      </c>
      <c r="L200" s="19">
        <f t="shared" si="0"/>
        <v>136887.44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10157.67</v>
      </c>
      <c r="I201" s="18">
        <v>3325.63</v>
      </c>
      <c r="J201" s="18">
        <v>2385.0300000000002</v>
      </c>
      <c r="K201" s="18">
        <v>0</v>
      </c>
      <c r="L201" s="19">
        <f>SUM(F201:K201)</f>
        <v>15868.33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1555961.9400000002</v>
      </c>
      <c r="G203" s="41">
        <f t="shared" si="1"/>
        <v>482632.24999999994</v>
      </c>
      <c r="H203" s="41">
        <f t="shared" si="1"/>
        <v>756746.75000000012</v>
      </c>
      <c r="I203" s="41">
        <f t="shared" si="1"/>
        <v>158560.04999999999</v>
      </c>
      <c r="J203" s="41">
        <f t="shared" si="1"/>
        <v>23949.37</v>
      </c>
      <c r="K203" s="41">
        <f t="shared" si="1"/>
        <v>3902.61</v>
      </c>
      <c r="L203" s="41">
        <f t="shared" si="1"/>
        <v>2981752.9699999997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836275</v>
      </c>
      <c r="I207" s="18"/>
      <c r="J207" s="18"/>
      <c r="K207" s="18"/>
      <c r="L207" s="19">
        <f>SUM(F207:K207)</f>
        <v>836275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836275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836275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3000</v>
      </c>
      <c r="I247" s="18">
        <v>0</v>
      </c>
      <c r="J247" s="18">
        <v>0</v>
      </c>
      <c r="K247" s="18">
        <v>0</v>
      </c>
      <c r="L247" s="19">
        <f t="shared" si="6"/>
        <v>3000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3000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3000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1555961.9400000002</v>
      </c>
      <c r="G249" s="41">
        <f t="shared" si="8"/>
        <v>482632.24999999994</v>
      </c>
      <c r="H249" s="41">
        <f t="shared" si="8"/>
        <v>1596021.75</v>
      </c>
      <c r="I249" s="41">
        <f t="shared" si="8"/>
        <v>158560.04999999999</v>
      </c>
      <c r="J249" s="41">
        <f t="shared" si="8"/>
        <v>23949.37</v>
      </c>
      <c r="K249" s="41">
        <f t="shared" si="8"/>
        <v>3902.61</v>
      </c>
      <c r="L249" s="41">
        <f t="shared" si="8"/>
        <v>3821027.9699999997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204468.61</v>
      </c>
      <c r="L252" s="19">
        <f>SUM(F252:K252)</f>
        <v>204468.61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10845.28</v>
      </c>
      <c r="L253" s="19">
        <f>SUM(F253:K253)</f>
        <v>10845.28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215313.88999999998</v>
      </c>
      <c r="L262" s="41">
        <f t="shared" si="9"/>
        <v>215313.88999999998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1555961.9400000002</v>
      </c>
      <c r="G263" s="42">
        <f t="shared" si="11"/>
        <v>482632.24999999994</v>
      </c>
      <c r="H263" s="42">
        <f t="shared" si="11"/>
        <v>1596021.75</v>
      </c>
      <c r="I263" s="42">
        <f t="shared" si="11"/>
        <v>158560.04999999999</v>
      </c>
      <c r="J263" s="42">
        <f t="shared" si="11"/>
        <v>23949.37</v>
      </c>
      <c r="K263" s="42">
        <f t="shared" si="11"/>
        <v>219216.49999999997</v>
      </c>
      <c r="L263" s="42">
        <f t="shared" si="11"/>
        <v>4036341.86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31660.58</v>
      </c>
      <c r="G268" s="18">
        <v>3216.81</v>
      </c>
      <c r="H268" s="18">
        <v>32595.360000000001</v>
      </c>
      <c r="I268" s="18">
        <v>3419.45</v>
      </c>
      <c r="J268" s="18">
        <v>0</v>
      </c>
      <c r="K268" s="18">
        <v>0</v>
      </c>
      <c r="L268" s="19">
        <f>SUM(F268:K268)</f>
        <v>70892.2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40500</v>
      </c>
      <c r="G269" s="18">
        <v>2946.83</v>
      </c>
      <c r="H269" s="18">
        <v>1626.36</v>
      </c>
      <c r="I269" s="18">
        <v>6359.62</v>
      </c>
      <c r="J269" s="18">
        <v>8478.24</v>
      </c>
      <c r="K269" s="18">
        <v>0</v>
      </c>
      <c r="L269" s="19">
        <f>SUM(F269:K269)</f>
        <v>59911.05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1017.76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1017.76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4368</v>
      </c>
      <c r="G274" s="18">
        <v>2100.94</v>
      </c>
      <c r="H274" s="18">
        <v>9496.31</v>
      </c>
      <c r="I274" s="18">
        <v>0</v>
      </c>
      <c r="J274" s="18">
        <v>0</v>
      </c>
      <c r="K274" s="18">
        <v>0</v>
      </c>
      <c r="L274" s="19">
        <f t="shared" si="12"/>
        <v>15965.25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76528.58</v>
      </c>
      <c r="G282" s="42">
        <f t="shared" si="13"/>
        <v>8264.58</v>
      </c>
      <c r="H282" s="42">
        <f t="shared" si="13"/>
        <v>44735.79</v>
      </c>
      <c r="I282" s="42">
        <f t="shared" si="13"/>
        <v>9779.07</v>
      </c>
      <c r="J282" s="42">
        <f t="shared" si="13"/>
        <v>8478.24</v>
      </c>
      <c r="K282" s="42">
        <f t="shared" si="13"/>
        <v>0</v>
      </c>
      <c r="L282" s="41">
        <f t="shared" si="13"/>
        <v>147786.26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76528.58</v>
      </c>
      <c r="G330" s="41">
        <f t="shared" si="20"/>
        <v>8264.58</v>
      </c>
      <c r="H330" s="41">
        <f t="shared" si="20"/>
        <v>44735.79</v>
      </c>
      <c r="I330" s="41">
        <f t="shared" si="20"/>
        <v>9779.07</v>
      </c>
      <c r="J330" s="41">
        <f t="shared" si="20"/>
        <v>8478.24</v>
      </c>
      <c r="K330" s="41">
        <f t="shared" si="20"/>
        <v>0</v>
      </c>
      <c r="L330" s="41">
        <f t="shared" si="20"/>
        <v>147786.26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76528.58</v>
      </c>
      <c r="G344" s="41">
        <f>G330</f>
        <v>8264.58</v>
      </c>
      <c r="H344" s="41">
        <f>H330</f>
        <v>44735.79</v>
      </c>
      <c r="I344" s="41">
        <f>I330</f>
        <v>9779.07</v>
      </c>
      <c r="J344" s="41">
        <f>J330</f>
        <v>8478.24</v>
      </c>
      <c r="K344" s="47">
        <f>K330+K343</f>
        <v>0</v>
      </c>
      <c r="L344" s="41">
        <f>L330+L343</f>
        <v>147786.26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21835.19</v>
      </c>
      <c r="G350" s="18">
        <v>1881.44</v>
      </c>
      <c r="H350" s="18">
        <v>1807.58</v>
      </c>
      <c r="I350" s="18">
        <v>26172.34</v>
      </c>
      <c r="J350" s="18">
        <v>9100.76</v>
      </c>
      <c r="K350" s="18">
        <v>0</v>
      </c>
      <c r="L350" s="13">
        <f>SUM(F350:K350)</f>
        <v>60797.310000000005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21835.19</v>
      </c>
      <c r="G354" s="47">
        <f t="shared" si="22"/>
        <v>1881.44</v>
      </c>
      <c r="H354" s="47">
        <f t="shared" si="22"/>
        <v>1807.58</v>
      </c>
      <c r="I354" s="47">
        <f t="shared" si="22"/>
        <v>26172.34</v>
      </c>
      <c r="J354" s="47">
        <f t="shared" si="22"/>
        <v>9100.76</v>
      </c>
      <c r="K354" s="47">
        <f t="shared" si="22"/>
        <v>0</v>
      </c>
      <c r="L354" s="47">
        <f t="shared" si="22"/>
        <v>60797.310000000005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17098.18+6076.45</f>
        <v>23174.63</v>
      </c>
      <c r="G359" s="18"/>
      <c r="H359" s="18"/>
      <c r="I359" s="56">
        <f>SUM(F359:H359)</f>
        <v>23174.63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26172.34-23174.63</f>
        <v>2997.7099999999991</v>
      </c>
      <c r="G360" s="63"/>
      <c r="H360" s="63"/>
      <c r="I360" s="56">
        <f>SUM(F360:H360)</f>
        <v>2997.7099999999991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26172.34</v>
      </c>
      <c r="G361" s="47">
        <f>SUM(G359:G360)</f>
        <v>0</v>
      </c>
      <c r="H361" s="47">
        <f>SUM(H359:H360)</f>
        <v>0</v>
      </c>
      <c r="I361" s="47">
        <f>SUM(I359:I360)</f>
        <v>26172.34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>
        <v>1060.98</v>
      </c>
      <c r="I379" s="18"/>
      <c r="J379" s="24" t="s">
        <v>312</v>
      </c>
      <c r="K379" s="24" t="s">
        <v>312</v>
      </c>
      <c r="L379" s="56">
        <f t="shared" ref="L379:L384" si="25">SUM(F379:K379)</f>
        <v>1060.98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1060.98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1060.98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5.07</v>
      </c>
      <c r="I388" s="18"/>
      <c r="J388" s="24" t="s">
        <v>312</v>
      </c>
      <c r="K388" s="24" t="s">
        <v>312</v>
      </c>
      <c r="L388" s="56">
        <f t="shared" si="26"/>
        <v>5.07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82.33</v>
      </c>
      <c r="I392" s="18"/>
      <c r="J392" s="24" t="s">
        <v>312</v>
      </c>
      <c r="K392" s="24" t="s">
        <v>312</v>
      </c>
      <c r="L392" s="56">
        <f t="shared" si="26"/>
        <v>82.33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87.4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87.4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>
        <v>555.01</v>
      </c>
      <c r="J395" s="24" t="s">
        <v>312</v>
      </c>
      <c r="K395" s="24" t="s">
        <v>312</v>
      </c>
      <c r="L395" s="56">
        <f>SUM(F395:K395)</f>
        <v>555.01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555.01</v>
      </c>
      <c r="J399" s="49" t="s">
        <v>312</v>
      </c>
      <c r="K399" s="49" t="s">
        <v>312</v>
      </c>
      <c r="L399" s="47">
        <f>SUM(L395:L398)</f>
        <v>555.01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1148.3800000000001</v>
      </c>
      <c r="I400" s="47">
        <f>I385+I393+I399</f>
        <v>555.01</v>
      </c>
      <c r="J400" s="24" t="s">
        <v>312</v>
      </c>
      <c r="K400" s="24" t="s">
        <v>312</v>
      </c>
      <c r="L400" s="47">
        <f>L385+L393+L399</f>
        <v>1703.39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>
        <v>62348.79</v>
      </c>
      <c r="L405" s="56">
        <f t="shared" ref="L405:L410" si="27">SUM(F405:K405)</f>
        <v>62348.79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62348.79</v>
      </c>
      <c r="L411" s="47">
        <f t="shared" si="28"/>
        <v>62348.79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894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>
        <v>385.75</v>
      </c>
      <c r="I421" s="18"/>
      <c r="J421" s="18"/>
      <c r="K421" s="18"/>
      <c r="L421" s="56">
        <f>SUM(F421:K421)</f>
        <v>385.75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385.75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385.75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385.75</v>
      </c>
      <c r="I426" s="47">
        <f t="shared" si="32"/>
        <v>0</v>
      </c>
      <c r="J426" s="47">
        <f t="shared" si="32"/>
        <v>0</v>
      </c>
      <c r="K426" s="47">
        <f t="shared" si="32"/>
        <v>62348.79</v>
      </c>
      <c r="L426" s="47">
        <f t="shared" si="32"/>
        <v>62734.54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>
        <v>2046.24</v>
      </c>
      <c r="I433" s="56">
        <f t="shared" si="33"/>
        <v>2046.24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f>31347.32+1946.97</f>
        <v>33294.29</v>
      </c>
      <c r="H434" s="18"/>
      <c r="I434" s="56">
        <f t="shared" si="33"/>
        <v>33294.29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33294.29</v>
      </c>
      <c r="H438" s="13">
        <f>SUM(H431:H437)</f>
        <v>2046.24</v>
      </c>
      <c r="I438" s="13">
        <f>SUM(I431:I437)</f>
        <v>35340.53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94494.7-61200.41</f>
        <v>33294.289999999994</v>
      </c>
      <c r="H449" s="18">
        <f>1876.98+169.26</f>
        <v>2046.24</v>
      </c>
      <c r="I449" s="56">
        <f>SUM(F449:H449)</f>
        <v>35340.529999999992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33294.289999999994</v>
      </c>
      <c r="H450" s="83">
        <f>SUM(H446:H449)</f>
        <v>2046.24</v>
      </c>
      <c r="I450" s="83">
        <f>SUM(I446:I449)</f>
        <v>35340.529999999992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33294.289999999994</v>
      </c>
      <c r="H451" s="42">
        <f>H444+H450</f>
        <v>2046.24</v>
      </c>
      <c r="I451" s="42">
        <f>I444+I450</f>
        <v>35340.529999999992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169650.42</v>
      </c>
      <c r="G455" s="18">
        <v>-289.07</v>
      </c>
      <c r="H455" s="18">
        <v>-1.5</v>
      </c>
      <c r="I455" s="18"/>
      <c r="J455" s="18">
        <v>96371.68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4391692.28-135406</f>
        <v>4256286.28</v>
      </c>
      <c r="G458" s="18">
        <v>64736.19</v>
      </c>
      <c r="H458" s="18">
        <v>147786.26</v>
      </c>
      <c r="I458" s="18"/>
      <c r="J458" s="18">
        <f>1148.38+555.01</f>
        <v>1703.39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70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4256356.28</v>
      </c>
      <c r="G460" s="53">
        <f>SUM(G458:G459)</f>
        <v>64736.19</v>
      </c>
      <c r="H460" s="53">
        <f>SUM(H458:H459)</f>
        <v>147786.26</v>
      </c>
      <c r="I460" s="53">
        <f>SUM(I458:I459)</f>
        <v>0</v>
      </c>
      <c r="J460" s="53">
        <f>SUM(J458:J459)</f>
        <v>1703.39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4014188.04+22153.82</f>
        <v>4036341.86</v>
      </c>
      <c r="G462" s="18">
        <f>60797.31</f>
        <v>60797.31</v>
      </c>
      <c r="H462" s="18">
        <v>147786.26</v>
      </c>
      <c r="I462" s="18"/>
      <c r="J462" s="18">
        <f>62348.79+385.75</f>
        <v>62734.54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4036341.86</v>
      </c>
      <c r="G464" s="53">
        <f>SUM(G462:G463)</f>
        <v>60797.31</v>
      </c>
      <c r="H464" s="53">
        <f>SUM(H462:H463)</f>
        <v>147786.26</v>
      </c>
      <c r="I464" s="53">
        <f>SUM(I462:I463)</f>
        <v>0</v>
      </c>
      <c r="J464" s="53">
        <f>SUM(J462:J463)</f>
        <v>62734.54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389664.84000000032</v>
      </c>
      <c r="G466" s="53">
        <f>(G455+G460)- G464</f>
        <v>3649.8100000000049</v>
      </c>
      <c r="H466" s="53">
        <f>(H455+H460)- H464</f>
        <v>-1.5</v>
      </c>
      <c r="I466" s="53">
        <f>(I455+I460)- I464</f>
        <v>0</v>
      </c>
      <c r="J466" s="53">
        <f>(J455+J460)- J464</f>
        <v>35340.529999999992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895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11</v>
      </c>
      <c r="G480" s="154">
        <v>5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897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898</v>
      </c>
      <c r="G482" s="155" t="s">
        <v>899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872662</v>
      </c>
      <c r="G483" s="18">
        <v>600000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5.14</v>
      </c>
      <c r="G484" s="18">
        <v>3.89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f>255000-85000</f>
        <v>170000</v>
      </c>
      <c r="G485" s="18">
        <f>240000-120000</f>
        <v>120000</v>
      </c>
      <c r="H485" s="18"/>
      <c r="I485" s="18"/>
      <c r="J485" s="18"/>
      <c r="K485" s="53">
        <f>SUM(F485:J485)</f>
        <v>290000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85000</v>
      </c>
      <c r="G487" s="18">
        <v>120000</v>
      </c>
      <c r="H487" s="18"/>
      <c r="I487" s="18"/>
      <c r="J487" s="18"/>
      <c r="K487" s="53">
        <f t="shared" si="34"/>
        <v>205000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170000-85000</f>
        <v>85000</v>
      </c>
      <c r="G488" s="205">
        <f>120000-120000</f>
        <v>0</v>
      </c>
      <c r="H488" s="205"/>
      <c r="I488" s="205"/>
      <c r="J488" s="205"/>
      <c r="K488" s="206">
        <f t="shared" si="34"/>
        <v>85000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8808.13-6598.13</f>
        <v>2209.9999999999991</v>
      </c>
      <c r="G489" s="18">
        <f>4732.83-4732.83</f>
        <v>0</v>
      </c>
      <c r="H489" s="18"/>
      <c r="I489" s="18"/>
      <c r="J489" s="18"/>
      <c r="K489" s="53">
        <f t="shared" si="34"/>
        <v>2209.9999999999991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87210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87210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85000</v>
      </c>
      <c r="G491" s="205"/>
      <c r="H491" s="205"/>
      <c r="I491" s="205"/>
      <c r="J491" s="205"/>
      <c r="K491" s="206">
        <f t="shared" si="34"/>
        <v>85000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2210</v>
      </c>
      <c r="G492" s="18"/>
      <c r="H492" s="18"/>
      <c r="I492" s="18"/>
      <c r="J492" s="18"/>
      <c r="K492" s="53">
        <f t="shared" si="34"/>
        <v>2210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87210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87210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415842.65</v>
      </c>
      <c r="G511" s="18">
        <v>88217.919999999998</v>
      </c>
      <c r="H511" s="18">
        <v>61318.57</v>
      </c>
      <c r="I511" s="18">
        <v>12228.64</v>
      </c>
      <c r="J511" s="18">
        <v>2997.81</v>
      </c>
      <c r="K511" s="18"/>
      <c r="L511" s="88">
        <f>SUM(F511:K511)</f>
        <v>580605.59000000008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415842.65</v>
      </c>
      <c r="G514" s="108">
        <f t="shared" ref="G514:L514" si="35">SUM(G511:G513)</f>
        <v>88217.919999999998</v>
      </c>
      <c r="H514" s="108">
        <f t="shared" si="35"/>
        <v>61318.57</v>
      </c>
      <c r="I514" s="108">
        <f t="shared" si="35"/>
        <v>12228.64</v>
      </c>
      <c r="J514" s="108">
        <f t="shared" si="35"/>
        <v>2997.81</v>
      </c>
      <c r="K514" s="108">
        <f t="shared" si="35"/>
        <v>0</v>
      </c>
      <c r="L514" s="89">
        <f t="shared" si="35"/>
        <v>580605.59000000008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>
        <v>1792.24</v>
      </c>
      <c r="H516" s="18">
        <v>289247.23</v>
      </c>
      <c r="I516" s="18">
        <v>32.85</v>
      </c>
      <c r="J516" s="18">
        <v>7991.94</v>
      </c>
      <c r="K516" s="18"/>
      <c r="L516" s="88">
        <f>SUM(F516:K516)</f>
        <v>299064.25999999995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1792.24</v>
      </c>
      <c r="H519" s="89">
        <f t="shared" si="36"/>
        <v>289247.23</v>
      </c>
      <c r="I519" s="89">
        <f t="shared" si="36"/>
        <v>32.85</v>
      </c>
      <c r="J519" s="89">
        <f t="shared" si="36"/>
        <v>7991.94</v>
      </c>
      <c r="K519" s="89">
        <f t="shared" si="36"/>
        <v>0</v>
      </c>
      <c r="L519" s="89">
        <f t="shared" si="36"/>
        <v>299064.25999999995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10346.61</f>
        <v>10346.61</v>
      </c>
      <c r="G521" s="18">
        <f>13333.59-10346.61</f>
        <v>2986.9799999999996</v>
      </c>
      <c r="H521" s="18"/>
      <c r="I521" s="18"/>
      <c r="J521" s="18"/>
      <c r="K521" s="18"/>
      <c r="L521" s="88">
        <f>SUM(F521:K521)</f>
        <v>13333.59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10346.61</v>
      </c>
      <c r="G524" s="89">
        <f t="shared" ref="G524:L524" si="37">SUM(G521:G523)</f>
        <v>2986.9799999999996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13333.59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45001.32</v>
      </c>
      <c r="I531" s="18"/>
      <c r="J531" s="18"/>
      <c r="K531" s="18"/>
      <c r="L531" s="88">
        <f>SUM(F531:K531)</f>
        <v>45001.32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45001.32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45001.32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426189.26</v>
      </c>
      <c r="G535" s="89">
        <f t="shared" ref="G535:L535" si="40">G514+G519+G524+G529+G534</f>
        <v>92997.14</v>
      </c>
      <c r="H535" s="89">
        <f t="shared" si="40"/>
        <v>395567.12</v>
      </c>
      <c r="I535" s="89">
        <f t="shared" si="40"/>
        <v>12261.49</v>
      </c>
      <c r="J535" s="89">
        <f t="shared" si="40"/>
        <v>10989.75</v>
      </c>
      <c r="K535" s="89">
        <f t="shared" si="40"/>
        <v>0</v>
      </c>
      <c r="L535" s="89">
        <f t="shared" si="40"/>
        <v>938004.76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580605.59000000008</v>
      </c>
      <c r="G539" s="87">
        <f>L516</f>
        <v>299064.25999999995</v>
      </c>
      <c r="H539" s="87">
        <f>L521</f>
        <v>13333.59</v>
      </c>
      <c r="I539" s="87">
        <f>L526</f>
        <v>0</v>
      </c>
      <c r="J539" s="87">
        <f>L531</f>
        <v>45001.32</v>
      </c>
      <c r="K539" s="87">
        <f>SUM(F539:J539)</f>
        <v>938004.76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580605.59000000008</v>
      </c>
      <c r="G542" s="89">
        <f t="shared" si="41"/>
        <v>299064.25999999995</v>
      </c>
      <c r="H542" s="89">
        <f t="shared" si="41"/>
        <v>13333.59</v>
      </c>
      <c r="I542" s="89">
        <f t="shared" si="41"/>
        <v>0</v>
      </c>
      <c r="J542" s="89">
        <f t="shared" si="41"/>
        <v>45001.32</v>
      </c>
      <c r="K542" s="89">
        <f t="shared" si="41"/>
        <v>938004.76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836275</v>
      </c>
      <c r="H565" s="18"/>
      <c r="I565" s="87">
        <f>SUM(F565:H565)</f>
        <v>836275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61318.57</v>
      </c>
      <c r="G572" s="18"/>
      <c r="H572" s="18"/>
      <c r="I572" s="87">
        <f t="shared" si="46"/>
        <v>61318.57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87930.78</v>
      </c>
      <c r="I581" s="18"/>
      <c r="J581" s="18"/>
      <c r="K581" s="104">
        <f t="shared" ref="K581:K587" si="47">SUM(H581:J581)</f>
        <v>87930.78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45001.32</v>
      </c>
      <c r="I582" s="18"/>
      <c r="J582" s="18"/>
      <c r="K582" s="104">
        <f t="shared" si="47"/>
        <v>45001.32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3955.34</v>
      </c>
      <c r="I585" s="18"/>
      <c r="J585" s="18"/>
      <c r="K585" s="104">
        <f t="shared" si="47"/>
        <v>3955.34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136887.44</v>
      </c>
      <c r="I588" s="108">
        <f>SUM(I581:I587)</f>
        <v>0</v>
      </c>
      <c r="J588" s="108">
        <f>SUM(J581:J587)</f>
        <v>0</v>
      </c>
      <c r="K588" s="108">
        <f>SUM(K581:K587)</f>
        <v>136887.44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32427.61</v>
      </c>
      <c r="I594" s="18"/>
      <c r="J594" s="18"/>
      <c r="K594" s="104">
        <f>SUM(H594:J594)</f>
        <v>32427.61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32427.61</v>
      </c>
      <c r="I595" s="108">
        <f>SUM(I592:I594)</f>
        <v>0</v>
      </c>
      <c r="J595" s="108">
        <f>SUM(J592:J594)</f>
        <v>0</v>
      </c>
      <c r="K595" s="108">
        <f>SUM(K592:K594)</f>
        <v>32427.61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396905.38000000006</v>
      </c>
      <c r="H607" s="109">
        <f>SUM(F44)</f>
        <v>396905.37999999995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6194.4</v>
      </c>
      <c r="H608" s="109">
        <f>SUM(G44)</f>
        <v>6194.4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41912.58</v>
      </c>
      <c r="H609" s="109">
        <f>SUM(H44)</f>
        <v>41912.58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35340.53</v>
      </c>
      <c r="H611" s="109">
        <f>SUM(J44)</f>
        <v>35340.529999999992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389664.83999999997</v>
      </c>
      <c r="H612" s="109">
        <f>F466</f>
        <v>389664.84000000032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3649.81</v>
      </c>
      <c r="H613" s="109">
        <f>G466</f>
        <v>3649.8100000000049</v>
      </c>
      <c r="I613" s="121" t="s">
        <v>108</v>
      </c>
      <c r="J613" s="109">
        <f t="shared" si="49"/>
        <v>-5.0022208597511053E-12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-1.5</v>
      </c>
      <c r="H614" s="109">
        <f>H466</f>
        <v>-1.5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35340.529999999992</v>
      </c>
      <c r="H616" s="109">
        <f>J466</f>
        <v>35340.529999999992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4256286.28</v>
      </c>
      <c r="H617" s="104">
        <f>SUM(F458)</f>
        <v>4256286.28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64736.19</v>
      </c>
      <c r="H618" s="104">
        <f>SUM(G458)</f>
        <v>64736.19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147786.26</v>
      </c>
      <c r="H619" s="104">
        <f>SUM(H458)</f>
        <v>147786.26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1703.39</v>
      </c>
      <c r="H621" s="104">
        <f>SUM(J458)</f>
        <v>1703.39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4036341.86</v>
      </c>
      <c r="H622" s="104">
        <f>SUM(F462)</f>
        <v>4036341.86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147786.26</v>
      </c>
      <c r="H623" s="104">
        <f>SUM(H462)</f>
        <v>147786.26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26172.34</v>
      </c>
      <c r="H624" s="104">
        <f>I361</f>
        <v>26172.34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60797.310000000005</v>
      </c>
      <c r="H625" s="104">
        <f>SUM(G462)</f>
        <v>60797.31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1703.39</v>
      </c>
      <c r="H627" s="164">
        <f>SUM(J458)</f>
        <v>1703.39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62734.54</v>
      </c>
      <c r="H628" s="164">
        <f>SUM(J462)</f>
        <v>62734.54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33294.29</v>
      </c>
      <c r="H630" s="104">
        <f>SUM(G451)</f>
        <v>33294.289999999994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2046.24</v>
      </c>
      <c r="H631" s="104">
        <f>SUM(H451)</f>
        <v>2046.24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35340.53</v>
      </c>
      <c r="H632" s="104">
        <f>SUM(I451)</f>
        <v>35340.529999999992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1148.3800000000001</v>
      </c>
      <c r="H634" s="104">
        <f>H400</f>
        <v>1148.3800000000001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1703.39</v>
      </c>
      <c r="H636" s="104">
        <f>L400</f>
        <v>1703.39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136887.44</v>
      </c>
      <c r="H637" s="104">
        <f>L200+L218+L236</f>
        <v>136887.44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32427.61</v>
      </c>
      <c r="H638" s="104">
        <f>(J249+J330)-(J247+J328)</f>
        <v>32427.61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136887.44</v>
      </c>
      <c r="H639" s="104">
        <f>H588</f>
        <v>136887.44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3190336.5399999996</v>
      </c>
      <c r="G650" s="19">
        <f>(L221+L301+L351)</f>
        <v>836275</v>
      </c>
      <c r="H650" s="19">
        <f>(L239+L320+L352)</f>
        <v>0</v>
      </c>
      <c r="I650" s="19">
        <f>SUM(F650:H650)</f>
        <v>4026611.5399999996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49884.1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49884.1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136887.44</v>
      </c>
      <c r="G652" s="19">
        <f>(L218+L298)-(J218+J298)</f>
        <v>0</v>
      </c>
      <c r="H652" s="19">
        <f>(L236+L317)-(J236+J317)</f>
        <v>0</v>
      </c>
      <c r="I652" s="19">
        <f>SUM(F652:H652)</f>
        <v>136887.44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93746.18</v>
      </c>
      <c r="G653" s="200">
        <f>SUM(G565:G577)+SUM(I592:I594)+L602</f>
        <v>836275</v>
      </c>
      <c r="H653" s="200">
        <f>SUM(H565:H577)+SUM(J592:J594)+L603</f>
        <v>0</v>
      </c>
      <c r="I653" s="19">
        <f>SUM(F653:H653)</f>
        <v>930021.17999999993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2909818.8199999994</v>
      </c>
      <c r="G654" s="19">
        <f>G650-SUM(G651:G653)</f>
        <v>0</v>
      </c>
      <c r="H654" s="19">
        <f>H650-SUM(H651:H653)</f>
        <v>0</v>
      </c>
      <c r="I654" s="19">
        <f>I650-SUM(I651:I653)</f>
        <v>2909818.8199999994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234.88</v>
      </c>
      <c r="G655" s="249"/>
      <c r="H655" s="249"/>
      <c r="I655" s="19">
        <f>SUM(F655:H655)</f>
        <v>234.88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12388.53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12388.53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12388.53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12388.53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347D-04D7-4AD1-8EF9-8004C8C76083}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MONT VERNON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815270.40999999992</v>
      </c>
      <c r="C9" s="230">
        <f>'DOE25'!G189+'DOE25'!G207+'DOE25'!G225+'DOE25'!G268+'DOE25'!G287+'DOE25'!G306</f>
        <v>242261.96</v>
      </c>
    </row>
    <row r="10" spans="1:3" x14ac:dyDescent="0.2">
      <c r="A10" t="s">
        <v>813</v>
      </c>
      <c r="B10" s="241">
        <v>771309.4</v>
      </c>
      <c r="C10" s="241">
        <v>229198.71</v>
      </c>
    </row>
    <row r="11" spans="1:3" x14ac:dyDescent="0.2">
      <c r="A11" t="s">
        <v>814</v>
      </c>
      <c r="B11" s="241">
        <v>42739.73</v>
      </c>
      <c r="C11" s="241">
        <v>12700.34</v>
      </c>
    </row>
    <row r="12" spans="1:3" x14ac:dyDescent="0.2">
      <c r="A12" t="s">
        <v>815</v>
      </c>
      <c r="B12" s="241">
        <v>1221.28</v>
      </c>
      <c r="C12" s="241">
        <v>362.91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815270.41</v>
      </c>
      <c r="C13" s="232">
        <f>SUM(C10:C12)</f>
        <v>242261.96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420503.13</v>
      </c>
      <c r="C18" s="230">
        <f>'DOE25'!G190+'DOE25'!G208+'DOE25'!G226+'DOE25'!G269+'DOE25'!G288+'DOE25'!G307</f>
        <v>90382.900000000009</v>
      </c>
    </row>
    <row r="19" spans="1:3" x14ac:dyDescent="0.2">
      <c r="A19" t="s">
        <v>813</v>
      </c>
      <c r="B19" s="241">
        <v>155013.01</v>
      </c>
      <c r="C19" s="241">
        <v>33318.480000000003</v>
      </c>
    </row>
    <row r="20" spans="1:3" x14ac:dyDescent="0.2">
      <c r="A20" t="s">
        <v>814</v>
      </c>
      <c r="B20" s="241">
        <v>154916.72</v>
      </c>
      <c r="C20" s="241">
        <v>33297.78</v>
      </c>
    </row>
    <row r="21" spans="1:3" x14ac:dyDescent="0.2">
      <c r="A21" t="s">
        <v>815</v>
      </c>
      <c r="B21" s="241">
        <v>110573.4</v>
      </c>
      <c r="C21" s="241">
        <v>23766.639999999999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420503.13</v>
      </c>
      <c r="C22" s="232">
        <f>SUM(C19:C21)</f>
        <v>90382.900000000009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5183</v>
      </c>
      <c r="C36" s="236">
        <f>'DOE25'!G192+'DOE25'!G210+'DOE25'!G228+'DOE25'!G271+'DOE25'!G290+'DOE25'!G309</f>
        <v>541.49</v>
      </c>
    </row>
    <row r="37" spans="1:3" x14ac:dyDescent="0.2">
      <c r="A37" t="s">
        <v>813</v>
      </c>
      <c r="B37" s="241">
        <v>5063</v>
      </c>
      <c r="C37" s="241">
        <v>528.95000000000005</v>
      </c>
    </row>
    <row r="38" spans="1:3" x14ac:dyDescent="0.2">
      <c r="A38" t="s">
        <v>814</v>
      </c>
      <c r="B38" s="241">
        <v>0</v>
      </c>
      <c r="C38" s="241">
        <v>0</v>
      </c>
    </row>
    <row r="39" spans="1:3" x14ac:dyDescent="0.2">
      <c r="A39" t="s">
        <v>815</v>
      </c>
      <c r="B39" s="241">
        <v>120</v>
      </c>
      <c r="C39" s="241">
        <v>12.54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5183</v>
      </c>
      <c r="C40" s="232">
        <f>SUM(C37:C39)</f>
        <v>541.49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F319-E1CE-479B-981D-2F501DCC4600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MONT VERNON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2780549.6300000004</v>
      </c>
      <c r="D5" s="20">
        <f>SUM('DOE25'!L189:L192)+SUM('DOE25'!L207:L210)+SUM('DOE25'!L225:L228)-F5-G5</f>
        <v>2769085.2900000005</v>
      </c>
      <c r="E5" s="244"/>
      <c r="F5" s="256">
        <f>SUM('DOE25'!J189:J192)+SUM('DOE25'!J207:J210)+SUM('DOE25'!J225:J228)</f>
        <v>11464.34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130050.62000000001</v>
      </c>
      <c r="D6" s="20">
        <f>'DOE25'!L194+'DOE25'!L212+'DOE25'!L230-F6-G6</f>
        <v>130050.62000000001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129403.82</v>
      </c>
      <c r="D7" s="20">
        <f>'DOE25'!L195+'DOE25'!L213+'DOE25'!L231-F7-G7</f>
        <v>129403.82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189483.00999999995</v>
      </c>
      <c r="D8" s="244"/>
      <c r="E8" s="20">
        <f>'DOE25'!L196+'DOE25'!L214+'DOE25'!L232-F8-G8-D9-D11</f>
        <v>186250.39999999997</v>
      </c>
      <c r="F8" s="256">
        <f>'DOE25'!J196+'DOE25'!J214+'DOE25'!J232</f>
        <v>0</v>
      </c>
      <c r="G8" s="53">
        <f>'DOE25'!K196+'DOE25'!K214+'DOE25'!K232</f>
        <v>3232.61</v>
      </c>
      <c r="H8" s="260"/>
    </row>
    <row r="9" spans="1:9" x14ac:dyDescent="0.2">
      <c r="A9" s="32">
        <v>2310</v>
      </c>
      <c r="B9" t="s">
        <v>852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193770.09000000003</v>
      </c>
      <c r="D12" s="20">
        <f>'DOE25'!L197+'DOE25'!L215+'DOE25'!L233-F12-G12</f>
        <v>193100.09000000003</v>
      </c>
      <c r="E12" s="244"/>
      <c r="F12" s="256">
        <f>'DOE25'!J197+'DOE25'!J215+'DOE25'!J233</f>
        <v>0</v>
      </c>
      <c r="G12" s="53">
        <f>'DOE25'!K197+'DOE25'!K215+'DOE25'!K233</f>
        <v>670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242015.02999999997</v>
      </c>
      <c r="D14" s="20">
        <f>'DOE25'!L199+'DOE25'!L217+'DOE25'!L235-F14-G14</f>
        <v>231915.02999999997</v>
      </c>
      <c r="E14" s="244"/>
      <c r="F14" s="256">
        <f>'DOE25'!J199+'DOE25'!J217+'DOE25'!J235</f>
        <v>10100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136887.44</v>
      </c>
      <c r="D15" s="20">
        <f>'DOE25'!L200+'DOE25'!L218+'DOE25'!L236-F15-G15</f>
        <v>136887.44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15868.33</v>
      </c>
      <c r="D16" s="244"/>
      <c r="E16" s="20">
        <f>'DOE25'!L201+'DOE25'!L219+'DOE25'!L237-F16-G16</f>
        <v>13483.3</v>
      </c>
      <c r="F16" s="256">
        <f>'DOE25'!J201+'DOE25'!J219+'DOE25'!J237</f>
        <v>2385.0300000000002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3000</v>
      </c>
      <c r="D22" s="244"/>
      <c r="E22" s="244"/>
      <c r="F22" s="256">
        <f>'DOE25'!L247+'DOE25'!L328</f>
        <v>3000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215313.88999999998</v>
      </c>
      <c r="D25" s="244"/>
      <c r="E25" s="244"/>
      <c r="F25" s="259"/>
      <c r="G25" s="257"/>
      <c r="H25" s="258">
        <f>'DOE25'!L252+'DOE25'!L253+'DOE25'!L333+'DOE25'!L334</f>
        <v>215313.88999999998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37622.680000000008</v>
      </c>
      <c r="D29" s="20">
        <f>'DOE25'!L350+'DOE25'!L351+'DOE25'!L352-'DOE25'!I359-F29-G29</f>
        <v>28521.920000000006</v>
      </c>
      <c r="E29" s="244"/>
      <c r="F29" s="256">
        <f>'DOE25'!J350+'DOE25'!J351+'DOE25'!J352</f>
        <v>9100.76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147786.26</v>
      </c>
      <c r="D31" s="20">
        <f>'DOE25'!L282+'DOE25'!L301+'DOE25'!L320+'DOE25'!L325+'DOE25'!L326+'DOE25'!L327-F31-G31</f>
        <v>139308.02000000002</v>
      </c>
      <c r="E31" s="244"/>
      <c r="F31" s="256">
        <f>'DOE25'!J282+'DOE25'!J301+'DOE25'!J320+'DOE25'!J325+'DOE25'!J326+'DOE25'!J327</f>
        <v>8478.24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3758272.23</v>
      </c>
      <c r="E33" s="247">
        <f>SUM(E5:E31)</f>
        <v>199733.69999999995</v>
      </c>
      <c r="F33" s="247">
        <f>SUM(F5:F31)</f>
        <v>44528.369999999995</v>
      </c>
      <c r="G33" s="247">
        <f>SUM(G5:G31)</f>
        <v>3902.61</v>
      </c>
      <c r="H33" s="247">
        <f>SUM(H5:H31)</f>
        <v>215313.88999999998</v>
      </c>
    </row>
    <row r="35" spans="2:8" ht="12" thickBot="1" x14ac:dyDescent="0.25">
      <c r="B35" s="254" t="s">
        <v>881</v>
      </c>
      <c r="D35" s="255">
        <f>E33</f>
        <v>199733.69999999995</v>
      </c>
      <c r="E35" s="250"/>
    </row>
    <row r="36" spans="2:8" ht="12" thickTop="1" x14ac:dyDescent="0.2">
      <c r="B36" t="s">
        <v>849</v>
      </c>
      <c r="D36" s="20">
        <f>D33</f>
        <v>3758272.23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8E074-01EF-41C8-A28E-9C0A4506BC7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MONT VERNON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2458.39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344025.53</v>
      </c>
      <c r="D10" s="95">
        <f>'DOE25'!G10</f>
        <v>4396.07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35204.160000000003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2046.24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13791.91</v>
      </c>
      <c r="D13" s="95">
        <f>'DOE25'!G13</f>
        <v>1798.33</v>
      </c>
      <c r="E13" s="95">
        <f>'DOE25'!H13</f>
        <v>41912.58</v>
      </c>
      <c r="F13" s="95">
        <f>'DOE25'!I13</f>
        <v>0</v>
      </c>
      <c r="G13" s="95">
        <f>'DOE25'!J13</f>
        <v>33294.29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1425.39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396905.38000000006</v>
      </c>
      <c r="D19" s="41">
        <f>SUM(D9:D18)</f>
        <v>6194.4</v>
      </c>
      <c r="E19" s="41">
        <f>SUM(E9:E18)</f>
        <v>41912.58</v>
      </c>
      <c r="F19" s="41">
        <f>SUM(F9:F18)</f>
        <v>0</v>
      </c>
      <c r="G19" s="41">
        <f>SUM(G9:G18)</f>
        <v>35340.53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41646.47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2897.75</v>
      </c>
      <c r="D23" s="95">
        <f>'DOE25'!G24</f>
        <v>2544.59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2464</v>
      </c>
      <c r="D24" s="95">
        <f>'DOE25'!G25</f>
        <v>0</v>
      </c>
      <c r="E24" s="95">
        <f>'DOE25'!H25</f>
        <v>257.14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1267.03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329.66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10.47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282.10000000000002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7240.54</v>
      </c>
      <c r="D32" s="41">
        <f>SUM(D22:D31)</f>
        <v>2544.59</v>
      </c>
      <c r="E32" s="41">
        <f>SUM(E22:E31)</f>
        <v>41914.080000000002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32120.74</v>
      </c>
      <c r="D36" s="95">
        <f>'DOE25'!G37</f>
        <v>1578.87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2070.94</v>
      </c>
      <c r="E40" s="95">
        <f>'DOE25'!H41</f>
        <v>-1.5</v>
      </c>
      <c r="F40" s="95">
        <f>'DOE25'!I41</f>
        <v>0</v>
      </c>
      <c r="G40" s="95">
        <f>'DOE25'!J41</f>
        <v>35340.529999999992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357544.1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389664.83999999997</v>
      </c>
      <c r="D42" s="41">
        <f>SUM(D34:D41)</f>
        <v>3649.81</v>
      </c>
      <c r="E42" s="41">
        <f>SUM(E34:E41)</f>
        <v>-1.5</v>
      </c>
      <c r="F42" s="41">
        <f>SUM(F34:F41)</f>
        <v>0</v>
      </c>
      <c r="G42" s="41">
        <f>SUM(G34:G41)</f>
        <v>35340.529999999992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396905.37999999995</v>
      </c>
      <c r="D43" s="41">
        <f>D42+D32</f>
        <v>6194.4</v>
      </c>
      <c r="E43" s="41">
        <f>E42+E32</f>
        <v>41912.58</v>
      </c>
      <c r="F43" s="41">
        <f>F42+F32</f>
        <v>0</v>
      </c>
      <c r="G43" s="41">
        <f>G42+G32</f>
        <v>35340.529999999992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2529288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845.15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1148.3800000000001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49481.1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28297.219999999998</v>
      </c>
      <c r="D53" s="95">
        <f>SUM('DOE25'!G90:G102)</f>
        <v>403</v>
      </c>
      <c r="E53" s="95">
        <f>SUM('DOE25'!H90:H102)</f>
        <v>420</v>
      </c>
      <c r="F53" s="95">
        <f>SUM('DOE25'!I90:I102)</f>
        <v>0</v>
      </c>
      <c r="G53" s="95">
        <f>SUM('DOE25'!J90:J102)</f>
        <v>555.01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29142.37</v>
      </c>
      <c r="D54" s="130">
        <f>SUM(D49:D53)</f>
        <v>49884.1</v>
      </c>
      <c r="E54" s="130">
        <f>SUM(E49:E53)</f>
        <v>420</v>
      </c>
      <c r="F54" s="130">
        <f>SUM(F49:F53)</f>
        <v>0</v>
      </c>
      <c r="G54" s="130">
        <f>SUM(G49:G53)</f>
        <v>1703.39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2558430.37</v>
      </c>
      <c r="D55" s="22">
        <f>D48+D54</f>
        <v>49884.1</v>
      </c>
      <c r="E55" s="22">
        <f>E48+E54</f>
        <v>420</v>
      </c>
      <c r="F55" s="22">
        <f>F48+F54</f>
        <v>0</v>
      </c>
      <c r="G55" s="22">
        <f>G48+G54</f>
        <v>1703.39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697122.86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388960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267465.14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1353548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67243.64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173587.4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682.98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240831.03999999998</v>
      </c>
      <c r="D70" s="130">
        <f>SUM(D64:D69)</f>
        <v>682.98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1594379.04</v>
      </c>
      <c r="D73" s="130">
        <f>SUM(D71:D72)+D70+D62</f>
        <v>682.98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16540.009999999998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41128.080000000002</v>
      </c>
      <c r="D80" s="95">
        <f>SUM('DOE25'!G145:G153)</f>
        <v>14169.11</v>
      </c>
      <c r="E80" s="95">
        <f>SUM('DOE25'!H145:H153)</f>
        <v>130826.25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41128.080000000002</v>
      </c>
      <c r="D83" s="131">
        <f>SUM(D77:D82)</f>
        <v>14169.11</v>
      </c>
      <c r="E83" s="131">
        <f>SUM(E77:E82)</f>
        <v>147366.26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62348.79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62348.79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4256286.28</v>
      </c>
      <c r="D96" s="86">
        <f>D55+D73+D83+D95</f>
        <v>64736.19</v>
      </c>
      <c r="E96" s="86">
        <f>E55+E73+E83+E95</f>
        <v>147786.26</v>
      </c>
      <c r="F96" s="86">
        <f>F55+F73+F83+F95</f>
        <v>0</v>
      </c>
      <c r="G96" s="86">
        <f>G55+G73+G95</f>
        <v>1703.39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1951966.6300000001</v>
      </c>
      <c r="D101" s="24" t="s">
        <v>312</v>
      </c>
      <c r="E101" s="95">
        <f>('DOE25'!L268)+('DOE25'!L287)+('DOE25'!L306)</f>
        <v>70892.2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822359.2300000001</v>
      </c>
      <c r="D102" s="24" t="s">
        <v>312</v>
      </c>
      <c r="E102" s="95">
        <f>('DOE25'!L269)+('DOE25'!L288)+('DOE25'!L307)</f>
        <v>59911.05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6223.7699999999995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2780549.6300000004</v>
      </c>
      <c r="D107" s="86">
        <f>SUM(D101:D106)</f>
        <v>0</v>
      </c>
      <c r="E107" s="86">
        <f>SUM(E101:E106)</f>
        <v>130803.25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130050.62000000001</v>
      </c>
      <c r="D110" s="24" t="s">
        <v>312</v>
      </c>
      <c r="E110" s="95">
        <f>+('DOE25'!L273)+('DOE25'!L292)+('DOE25'!L311)</f>
        <v>1017.76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129403.82</v>
      </c>
      <c r="D111" s="24" t="s">
        <v>312</v>
      </c>
      <c r="E111" s="95">
        <f>+('DOE25'!L274)+('DOE25'!L293)+('DOE25'!L312)</f>
        <v>15965.25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189483.00999999995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193770.09000000003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242015.02999999997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136887.44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15868.33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60797.310000000005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1037478.34</v>
      </c>
      <c r="D120" s="86">
        <f>SUM(D110:D119)</f>
        <v>60797.310000000005</v>
      </c>
      <c r="E120" s="86">
        <f>SUM(E110:E119)</f>
        <v>16983.009999999998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3000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204468.61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10845.28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62348.79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1060.98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87.4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555.01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-1703.39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218313.88999999998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62348.79</v>
      </c>
    </row>
    <row r="137" spans="1:9" ht="12.75" thickTop="1" thickBot="1" x14ac:dyDescent="0.25">
      <c r="A137" s="33" t="s">
        <v>267</v>
      </c>
      <c r="C137" s="86">
        <f>(C107+C120+C136)</f>
        <v>4036341.8600000003</v>
      </c>
      <c r="D137" s="86">
        <f>(D107+D120+D136)</f>
        <v>60797.310000000005</v>
      </c>
      <c r="E137" s="86">
        <f>(E107+E120+E136)</f>
        <v>147786.26</v>
      </c>
      <c r="F137" s="86">
        <f>(F107+F120+F136)</f>
        <v>0</v>
      </c>
      <c r="G137" s="86">
        <f>(G107+G120+G136)</f>
        <v>62348.79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11</v>
      </c>
      <c r="C143" s="153">
        <f>'DOE25'!G480</f>
        <v>5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06/00</v>
      </c>
      <c r="C144" s="152" t="str">
        <f>'DOE25'!G481</f>
        <v>07/04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07/11</v>
      </c>
      <c r="C145" s="152" t="str">
        <f>'DOE25'!G482</f>
        <v>10/09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872662</v>
      </c>
      <c r="C146" s="137">
        <f>'DOE25'!G483</f>
        <v>600000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5.14</v>
      </c>
      <c r="C147" s="137">
        <f>'DOE25'!G484</f>
        <v>3.89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170000</v>
      </c>
      <c r="C148" s="137">
        <f>'DOE25'!G485</f>
        <v>120000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290000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85000</v>
      </c>
      <c r="C150" s="137">
        <f>'DOE25'!G487</f>
        <v>120000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205000</v>
      </c>
    </row>
    <row r="151" spans="1:7" x14ac:dyDescent="0.2">
      <c r="A151" s="22" t="s">
        <v>35</v>
      </c>
      <c r="B151" s="137">
        <f>'DOE25'!F488</f>
        <v>85000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85000</v>
      </c>
    </row>
    <row r="152" spans="1:7" x14ac:dyDescent="0.2">
      <c r="A152" s="22" t="s">
        <v>36</v>
      </c>
      <c r="B152" s="137">
        <f>'DOE25'!F489</f>
        <v>2209.9999999999991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2209.9999999999991</v>
      </c>
    </row>
    <row r="153" spans="1:7" x14ac:dyDescent="0.2">
      <c r="A153" s="22" t="s">
        <v>37</v>
      </c>
      <c r="B153" s="137">
        <f>'DOE25'!F490</f>
        <v>87210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87210</v>
      </c>
    </row>
    <row r="154" spans="1:7" x14ac:dyDescent="0.2">
      <c r="A154" s="22" t="s">
        <v>38</v>
      </c>
      <c r="B154" s="137">
        <f>'DOE25'!F491</f>
        <v>85000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85000</v>
      </c>
    </row>
    <row r="155" spans="1:7" x14ac:dyDescent="0.2">
      <c r="A155" s="22" t="s">
        <v>39</v>
      </c>
      <c r="B155" s="137">
        <f>'DOE25'!F492</f>
        <v>2210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2210</v>
      </c>
    </row>
    <row r="156" spans="1:7" x14ac:dyDescent="0.2">
      <c r="A156" s="22" t="s">
        <v>269</v>
      </c>
      <c r="B156" s="137">
        <f>'DOE25'!F493</f>
        <v>87210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87210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2E4B-ABCD-4AA8-A213-D4142AA020F1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MONT VERNON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12389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12389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2022859</v>
      </c>
      <c r="D10" s="182">
        <f>ROUND((C10/$C$28)*100,1)</f>
        <v>50.7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882270</v>
      </c>
      <c r="D11" s="182">
        <f>ROUND((C11/$C$28)*100,1)</f>
        <v>22.1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6224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131068</v>
      </c>
      <c r="D15" s="182">
        <f t="shared" ref="D15:D27" si="0">ROUND((C15/$C$28)*100,1)</f>
        <v>3.3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145369</v>
      </c>
      <c r="D16" s="182">
        <f t="shared" si="0"/>
        <v>3.6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205351</v>
      </c>
      <c r="D17" s="182">
        <f t="shared" si="0"/>
        <v>5.0999999999999996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193770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242015</v>
      </c>
      <c r="D20" s="182">
        <f t="shared" si="0"/>
        <v>6.1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136887</v>
      </c>
      <c r="D21" s="182">
        <f t="shared" si="0"/>
        <v>3.4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10845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10912.900000000001</v>
      </c>
      <c r="D27" s="182">
        <f t="shared" si="0"/>
        <v>0.3</v>
      </c>
    </row>
    <row r="28" spans="1:4" x14ac:dyDescent="0.2">
      <c r="B28" s="187" t="s">
        <v>754</v>
      </c>
      <c r="C28" s="180">
        <f>SUM(C10:C27)</f>
        <v>3987570.9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3000</v>
      </c>
    </row>
    <row r="30" spans="1:4" x14ac:dyDescent="0.2">
      <c r="B30" s="187" t="s">
        <v>760</v>
      </c>
      <c r="C30" s="180">
        <f>SUM(C28:C29)</f>
        <v>3990570.9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204469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2529288</v>
      </c>
      <c r="D35" s="182">
        <f t="shared" ref="D35:D40" si="1">ROUND((C35/$C$41)*100,1)</f>
        <v>58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31265.760000000242</v>
      </c>
      <c r="D36" s="182">
        <f t="shared" si="1"/>
        <v>0.7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1086083</v>
      </c>
      <c r="D37" s="182">
        <f t="shared" si="1"/>
        <v>24.9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508979</v>
      </c>
      <c r="D38" s="182">
        <f t="shared" si="1"/>
        <v>11.7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202663</v>
      </c>
      <c r="D39" s="182">
        <f t="shared" si="1"/>
        <v>4.7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4358278.76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B6D-B272-4494-A1B3-BFE457FA77E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MONT VERNON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2010-08-30T12:44:51Z</cp:lastPrinted>
  <dcterms:created xsi:type="dcterms:W3CDTF">1997-12-04T19:04:30Z</dcterms:created>
  <dcterms:modified xsi:type="dcterms:W3CDTF">2025-01-09T20:10:04Z</dcterms:modified>
</cp:coreProperties>
</file>