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674A025-59AB-40D3-8381-6831B371535E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68F092DB-7E0C-4F35-ACD3-7D813EFBCD9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B21" i="12"/>
  <c r="B39" i="12"/>
  <c r="B40" i="12" s="1"/>
  <c r="B30" i="12"/>
  <c r="B12" i="12"/>
  <c r="H459" i="1"/>
  <c r="G463" i="1"/>
  <c r="G459" i="1"/>
  <c r="H463" i="1"/>
  <c r="H153" i="1"/>
  <c r="F49" i="1"/>
  <c r="F52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191" i="1"/>
  <c r="L203" i="1" s="1"/>
  <c r="L192" i="1"/>
  <c r="C104" i="2" s="1"/>
  <c r="L207" i="1"/>
  <c r="C10" i="10" s="1"/>
  <c r="L208" i="1"/>
  <c r="C102" i="2" s="1"/>
  <c r="L209" i="1"/>
  <c r="L210" i="1"/>
  <c r="L225" i="1"/>
  <c r="L226" i="1"/>
  <c r="L227" i="1"/>
  <c r="C12" i="10" s="1"/>
  <c r="L228" i="1"/>
  <c r="C13" i="10" s="1"/>
  <c r="F6" i="13"/>
  <c r="G6" i="13"/>
  <c r="L194" i="1"/>
  <c r="C110" i="2" s="1"/>
  <c r="L212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116" i="2" s="1"/>
  <c r="L218" i="1"/>
  <c r="G640" i="1" s="1"/>
  <c r="L236" i="1"/>
  <c r="H652" i="1" s="1"/>
  <c r="F17" i="13"/>
  <c r="G17" i="13"/>
  <c r="L243" i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4" i="1" s="1"/>
  <c r="L352" i="1"/>
  <c r="H651" i="1" s="1"/>
  <c r="I359" i="1"/>
  <c r="J282" i="1"/>
  <c r="F31" i="13" s="1"/>
  <c r="J301" i="1"/>
  <c r="J320" i="1"/>
  <c r="K282" i="1"/>
  <c r="K301" i="1"/>
  <c r="G31" i="13" s="1"/>
  <c r="K320" i="1"/>
  <c r="L268" i="1"/>
  <c r="L282" i="1" s="1"/>
  <c r="L269" i="1"/>
  <c r="C11" i="10" s="1"/>
  <c r="L270" i="1"/>
  <c r="L271" i="1"/>
  <c r="L273" i="1"/>
  <c r="E110" i="2" s="1"/>
  <c r="E120" i="2" s="1"/>
  <c r="L274" i="1"/>
  <c r="L275" i="1"/>
  <c r="L276" i="1"/>
  <c r="E113" i="2" s="1"/>
  <c r="L277" i="1"/>
  <c r="L278" i="1"/>
  <c r="L279" i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E116" i="2" s="1"/>
  <c r="L318" i="1"/>
  <c r="L325" i="1"/>
  <c r="L326" i="1"/>
  <c r="E106" i="2" s="1"/>
  <c r="L327" i="1"/>
  <c r="L252" i="1"/>
  <c r="L253" i="1"/>
  <c r="H25" i="13" s="1"/>
  <c r="L333" i="1"/>
  <c r="C32" i="10" s="1"/>
  <c r="L334" i="1"/>
  <c r="E124" i="2" s="1"/>
  <c r="L247" i="1"/>
  <c r="L328" i="1"/>
  <c r="F22" i="13"/>
  <c r="C22" i="13" s="1"/>
  <c r="C11" i="13"/>
  <c r="C10" i="13"/>
  <c r="C9" i="13"/>
  <c r="L353" i="1"/>
  <c r="B4" i="12"/>
  <c r="B36" i="12"/>
  <c r="C36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A22" i="12"/>
  <c r="B1" i="12"/>
  <c r="L379" i="1"/>
  <c r="L380" i="1"/>
  <c r="L385" i="1" s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/>
  <c r="L602" i="1"/>
  <c r="L604" i="1" s="1"/>
  <c r="G653" i="1"/>
  <c r="I653" i="1" s="1"/>
  <c r="L601" i="1"/>
  <c r="F653" i="1"/>
  <c r="C40" i="10"/>
  <c r="G52" i="1"/>
  <c r="G104" i="1" s="1"/>
  <c r="H52" i="1"/>
  <c r="E48" i="2" s="1"/>
  <c r="E55" i="2" s="1"/>
  <c r="I52" i="1"/>
  <c r="F71" i="1"/>
  <c r="F86" i="1"/>
  <c r="F103" i="1"/>
  <c r="G103" i="1"/>
  <c r="H71" i="1"/>
  <c r="H104" i="1" s="1"/>
  <c r="H185" i="1" s="1"/>
  <c r="G619" i="1" s="1"/>
  <c r="J619" i="1" s="1"/>
  <c r="H86" i="1"/>
  <c r="H103" i="1"/>
  <c r="I103" i="1"/>
  <c r="I104" i="1"/>
  <c r="J103" i="1"/>
  <c r="J104" i="1"/>
  <c r="C37" i="10"/>
  <c r="F113" i="1"/>
  <c r="F128" i="1"/>
  <c r="F132" i="1"/>
  <c r="G113" i="1"/>
  <c r="G132" i="1" s="1"/>
  <c r="G128" i="1"/>
  <c r="H113" i="1"/>
  <c r="H132" i="1" s="1"/>
  <c r="H128" i="1"/>
  <c r="I113" i="1"/>
  <c r="I128" i="1"/>
  <c r="I132" i="1"/>
  <c r="J113" i="1"/>
  <c r="J128" i="1"/>
  <c r="J132" i="1"/>
  <c r="F139" i="1"/>
  <c r="F161" i="1" s="1"/>
  <c r="C39" i="10" s="1"/>
  <c r="F154" i="1"/>
  <c r="G139" i="1"/>
  <c r="G161" i="1" s="1"/>
  <c r="G154" i="1"/>
  <c r="H139" i="1"/>
  <c r="H161" i="1" s="1"/>
  <c r="H154" i="1"/>
  <c r="I139" i="1"/>
  <c r="I154" i="1"/>
  <c r="I161" i="1" s="1"/>
  <c r="C15" i="10"/>
  <c r="C21" i="10"/>
  <c r="L242" i="1"/>
  <c r="L324" i="1"/>
  <c r="C23" i="10"/>
  <c r="L246" i="1"/>
  <c r="C24" i="10" s="1"/>
  <c r="L260" i="1"/>
  <c r="L261" i="1"/>
  <c r="L341" i="1"/>
  <c r="L342" i="1"/>
  <c r="C26" i="10"/>
  <c r="I655" i="1"/>
  <c r="I660" i="1"/>
  <c r="I659" i="1"/>
  <c r="C42" i="10"/>
  <c r="L366" i="1"/>
  <c r="F122" i="2" s="1"/>
  <c r="F136" i="2" s="1"/>
  <c r="L367" i="1"/>
  <c r="L368" i="1"/>
  <c r="L369" i="1"/>
  <c r="L370" i="1"/>
  <c r="L371" i="1"/>
  <c r="L372" i="1"/>
  <c r="C29" i="10"/>
  <c r="B2" i="10"/>
  <c r="L336" i="1"/>
  <c r="L337" i="1"/>
  <c r="L338" i="1"/>
  <c r="L339" i="1"/>
  <c r="K343" i="1"/>
  <c r="L511" i="1"/>
  <c r="F539" i="1"/>
  <c r="L512" i="1"/>
  <c r="L514" i="1" s="1"/>
  <c r="L513" i="1"/>
  <c r="F541" i="1"/>
  <c r="K541" i="1" s="1"/>
  <c r="L516" i="1"/>
  <c r="G539" i="1" s="1"/>
  <c r="L517" i="1"/>
  <c r="G540" i="1"/>
  <c r="L518" i="1"/>
  <c r="G541" i="1" s="1"/>
  <c r="L521" i="1"/>
  <c r="H539" i="1" s="1"/>
  <c r="L522" i="1"/>
  <c r="H540" i="1"/>
  <c r="L523" i="1"/>
  <c r="H541" i="1" s="1"/>
  <c r="L526" i="1"/>
  <c r="I539" i="1"/>
  <c r="I542" i="1" s="1"/>
  <c r="L527" i="1"/>
  <c r="I540" i="1" s="1"/>
  <c r="L528" i="1"/>
  <c r="I541" i="1"/>
  <c r="L531" i="1"/>
  <c r="J539" i="1"/>
  <c r="L532" i="1"/>
  <c r="J540" i="1" s="1"/>
  <c r="J542" i="1" s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I431" i="1"/>
  <c r="J9" i="1" s="1"/>
  <c r="C10" i="2"/>
  <c r="D10" i="2"/>
  <c r="E10" i="2"/>
  <c r="F10" i="2"/>
  <c r="I432" i="1"/>
  <c r="I438" i="1" s="1"/>
  <c r="G632" i="1" s="1"/>
  <c r="C11" i="2"/>
  <c r="C12" i="2"/>
  <c r="D12" i="2"/>
  <c r="E12" i="2"/>
  <c r="F12" i="2"/>
  <c r="I433" i="1"/>
  <c r="J12" i="1"/>
  <c r="G12" i="2" s="1"/>
  <c r="C13" i="2"/>
  <c r="D13" i="2"/>
  <c r="E13" i="2"/>
  <c r="F13" i="2"/>
  <c r="F19" i="2" s="1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19" i="2"/>
  <c r="D19" i="2"/>
  <c r="C22" i="2"/>
  <c r="D22" i="2"/>
  <c r="E22" i="2"/>
  <c r="F22" i="2"/>
  <c r="I440" i="1"/>
  <c r="J23" i="1"/>
  <c r="G22" i="2" s="1"/>
  <c r="C23" i="2"/>
  <c r="C32" i="2" s="1"/>
  <c r="D23" i="2"/>
  <c r="D32" i="2" s="1"/>
  <c r="E23" i="2"/>
  <c r="F23" i="2"/>
  <c r="I441" i="1"/>
  <c r="J24" i="1" s="1"/>
  <c r="C24" i="2"/>
  <c r="D24" i="2"/>
  <c r="E24" i="2"/>
  <c r="F24" i="2"/>
  <c r="F32" i="2" s="1"/>
  <c r="I442" i="1"/>
  <c r="J25" i="1"/>
  <c r="G24" i="2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E34" i="2"/>
  <c r="E42" i="2" s="1"/>
  <c r="F34" i="2"/>
  <c r="F42" i="2" s="1"/>
  <c r="F43" i="2" s="1"/>
  <c r="C35" i="2"/>
  <c r="D35" i="2"/>
  <c r="E35" i="2"/>
  <c r="F35" i="2"/>
  <c r="C36" i="2"/>
  <c r="D36" i="2"/>
  <c r="D42" i="2" s="1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8" i="2"/>
  <c r="F48" i="2"/>
  <c r="C49" i="2"/>
  <c r="C54" i="2" s="1"/>
  <c r="E49" i="2"/>
  <c r="C50" i="2"/>
  <c r="E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E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E69" i="2"/>
  <c r="E70" i="2" s="1"/>
  <c r="E73" i="2" s="1"/>
  <c r="F69" i="2"/>
  <c r="G69" i="2"/>
  <c r="D70" i="2"/>
  <c r="G70" i="2"/>
  <c r="G73" i="2" s="1"/>
  <c r="C71" i="2"/>
  <c r="D71" i="2"/>
  <c r="E71" i="2"/>
  <c r="C72" i="2"/>
  <c r="E72" i="2"/>
  <c r="C77" i="2"/>
  <c r="C83" i="2" s="1"/>
  <c r="D77" i="2"/>
  <c r="D83" i="2" s="1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F83" i="2"/>
  <c r="C85" i="2"/>
  <c r="F85" i="2"/>
  <c r="F95" i="2" s="1"/>
  <c r="C86" i="2"/>
  <c r="C95" i="2" s="1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95" i="2"/>
  <c r="C103" i="2"/>
  <c r="E104" i="2"/>
  <c r="C105" i="2"/>
  <c r="E105" i="2"/>
  <c r="C106" i="2"/>
  <c r="D107" i="2"/>
  <c r="F107" i="2"/>
  <c r="F137" i="2" s="1"/>
  <c r="G107" i="2"/>
  <c r="G137" i="2" s="1"/>
  <c r="E111" i="2"/>
  <c r="C112" i="2"/>
  <c r="E112" i="2"/>
  <c r="E114" i="2"/>
  <c r="E115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153" i="2" s="1"/>
  <c r="G490" i="1"/>
  <c r="C153" i="2"/>
  <c r="H490" i="1"/>
  <c r="D153" i="2" s="1"/>
  <c r="I490" i="1"/>
  <c r="E153" i="2"/>
  <c r="J490" i="1"/>
  <c r="F153" i="2"/>
  <c r="B154" i="2"/>
  <c r="C154" i="2"/>
  <c r="G154" i="2" s="1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H19" i="1"/>
  <c r="G609" i="1" s="1"/>
  <c r="J609" i="1" s="1"/>
  <c r="I19" i="1"/>
  <c r="G610" i="1" s="1"/>
  <c r="J610" i="1" s="1"/>
  <c r="F33" i="1"/>
  <c r="G33" i="1"/>
  <c r="H33" i="1"/>
  <c r="I33" i="1"/>
  <c r="F43" i="1"/>
  <c r="F44" i="1" s="1"/>
  <c r="H607" i="1" s="1"/>
  <c r="J607" i="1" s="1"/>
  <c r="G43" i="1"/>
  <c r="G44" i="1" s="1"/>
  <c r="H608" i="1" s="1"/>
  <c r="H43" i="1"/>
  <c r="I43" i="1"/>
  <c r="H44" i="1"/>
  <c r="I44" i="1"/>
  <c r="F169" i="1"/>
  <c r="F184" i="1" s="1"/>
  <c r="I169" i="1"/>
  <c r="F175" i="1"/>
  <c r="G175" i="1"/>
  <c r="G184" i="1" s="1"/>
  <c r="H175" i="1"/>
  <c r="H184" i="1" s="1"/>
  <c r="I175" i="1"/>
  <c r="J175" i="1"/>
  <c r="F180" i="1"/>
  <c r="G180" i="1"/>
  <c r="H180" i="1"/>
  <c r="I180" i="1"/>
  <c r="I184" i="1"/>
  <c r="J184" i="1"/>
  <c r="J185" i="1" s="1"/>
  <c r="F203" i="1"/>
  <c r="F249" i="1" s="1"/>
  <c r="F263" i="1" s="1"/>
  <c r="G203" i="1"/>
  <c r="G249" i="1" s="1"/>
  <c r="G263" i="1" s="1"/>
  <c r="H203" i="1"/>
  <c r="I203" i="1"/>
  <c r="I249" i="1" s="1"/>
  <c r="I263" i="1" s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J249" i="1"/>
  <c r="K249" i="1"/>
  <c r="K263" i="1" s="1"/>
  <c r="H263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F330" i="1" s="1"/>
  <c r="F344" i="1" s="1"/>
  <c r="G320" i="1"/>
  <c r="H320" i="1"/>
  <c r="I320" i="1"/>
  <c r="F329" i="1"/>
  <c r="G329" i="1"/>
  <c r="L329" i="1" s="1"/>
  <c r="H329" i="1"/>
  <c r="I329" i="1"/>
  <c r="J329" i="1"/>
  <c r="K329" i="1"/>
  <c r="K330" i="1" s="1"/>
  <c r="K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F399" i="1"/>
  <c r="G399" i="1"/>
  <c r="G400" i="1" s="1"/>
  <c r="H635" i="1" s="1"/>
  <c r="J635" i="1" s="1"/>
  <c r="H399" i="1"/>
  <c r="H400" i="1" s="1"/>
  <c r="H634" i="1" s="1"/>
  <c r="J634" i="1" s="1"/>
  <c r="I399" i="1"/>
  <c r="I400" i="1"/>
  <c r="L405" i="1"/>
  <c r="L406" i="1"/>
  <c r="L407" i="1"/>
  <c r="L408" i="1"/>
  <c r="L409" i="1"/>
  <c r="L411" i="1" s="1"/>
  <c r="L410" i="1"/>
  <c r="F411" i="1"/>
  <c r="G411" i="1"/>
  <c r="H411" i="1"/>
  <c r="H426" i="1" s="1"/>
  <c r="I411" i="1"/>
  <c r="I426" i="1" s="1"/>
  <c r="J411" i="1"/>
  <c r="J426" i="1" s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G426" i="1" s="1"/>
  <c r="H425" i="1"/>
  <c r="I425" i="1"/>
  <c r="J425" i="1"/>
  <c r="L425" i="1"/>
  <c r="F438" i="1"/>
  <c r="G629" i="1" s="1"/>
  <c r="J629" i="1" s="1"/>
  <c r="G438" i="1"/>
  <c r="G630" i="1" s="1"/>
  <c r="H438" i="1"/>
  <c r="F444" i="1"/>
  <c r="G444" i="1"/>
  <c r="H444" i="1"/>
  <c r="H451" i="1" s="1"/>
  <c r="H631" i="1" s="1"/>
  <c r="J631" i="1" s="1"/>
  <c r="I444" i="1"/>
  <c r="F450" i="1"/>
  <c r="G450" i="1"/>
  <c r="H450" i="1"/>
  <c r="F451" i="1"/>
  <c r="G451" i="1"/>
  <c r="H630" i="1" s="1"/>
  <c r="F460" i="1"/>
  <c r="F466" i="1" s="1"/>
  <c r="H612" i="1" s="1"/>
  <c r="G460" i="1"/>
  <c r="G466" i="1" s="1"/>
  <c r="H613" i="1" s="1"/>
  <c r="H460" i="1"/>
  <c r="I460" i="1"/>
  <c r="I466" i="1" s="1"/>
  <c r="H615" i="1" s="1"/>
  <c r="J615" i="1" s="1"/>
  <c r="J460" i="1"/>
  <c r="F464" i="1"/>
  <c r="G464" i="1"/>
  <c r="H464" i="1"/>
  <c r="I464" i="1"/>
  <c r="J464" i="1"/>
  <c r="J466" i="1" s="1"/>
  <c r="H616" i="1" s="1"/>
  <c r="H466" i="1"/>
  <c r="H614" i="1" s="1"/>
  <c r="J614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I514" i="1"/>
  <c r="J514" i="1"/>
  <c r="J535" i="1" s="1"/>
  <c r="K514" i="1"/>
  <c r="K535" i="1" s="1"/>
  <c r="F519" i="1"/>
  <c r="G519" i="1"/>
  <c r="G535" i="1" s="1"/>
  <c r="H519" i="1"/>
  <c r="H535" i="1" s="1"/>
  <c r="I519" i="1"/>
  <c r="I535" i="1" s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F535" i="1" s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J560" i="1"/>
  <c r="K560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G608" i="1"/>
  <c r="J608" i="1" s="1"/>
  <c r="H609" i="1"/>
  <c r="H610" i="1"/>
  <c r="G614" i="1"/>
  <c r="G615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H629" i="1"/>
  <c r="G631" i="1"/>
  <c r="G633" i="1"/>
  <c r="G634" i="1"/>
  <c r="G635" i="1"/>
  <c r="H637" i="1"/>
  <c r="G639" i="1"/>
  <c r="H639" i="1"/>
  <c r="J639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H638" i="1" l="1"/>
  <c r="J638" i="1" s="1"/>
  <c r="H33" i="13"/>
  <c r="C25" i="13"/>
  <c r="C35" i="10"/>
  <c r="C48" i="2"/>
  <c r="C55" i="2" s="1"/>
  <c r="C96" i="2" s="1"/>
  <c r="F104" i="1"/>
  <c r="F185" i="1" s="1"/>
  <c r="G617" i="1" s="1"/>
  <c r="J617" i="1" s="1"/>
  <c r="G636" i="1"/>
  <c r="G621" i="1"/>
  <c r="J621" i="1" s="1"/>
  <c r="E43" i="2"/>
  <c r="H542" i="1"/>
  <c r="A40" i="12"/>
  <c r="C27" i="10"/>
  <c r="G625" i="1"/>
  <c r="J625" i="1" s="1"/>
  <c r="L249" i="1"/>
  <c r="L263" i="1" s="1"/>
  <c r="G622" i="1" s="1"/>
  <c r="J622" i="1" s="1"/>
  <c r="F650" i="1"/>
  <c r="G23" i="2"/>
  <c r="J33" i="1"/>
  <c r="E96" i="2"/>
  <c r="G55" i="2"/>
  <c r="G96" i="2" s="1"/>
  <c r="L426" i="1"/>
  <c r="G628" i="1" s="1"/>
  <c r="J628" i="1" s="1"/>
  <c r="J43" i="1"/>
  <c r="G36" i="2"/>
  <c r="G42" i="2" s="1"/>
  <c r="G43" i="2" s="1"/>
  <c r="C43" i="2"/>
  <c r="I185" i="1"/>
  <c r="G620" i="1" s="1"/>
  <c r="J620" i="1" s="1"/>
  <c r="G185" i="1"/>
  <c r="G618" i="1" s="1"/>
  <c r="J618" i="1" s="1"/>
  <c r="L561" i="1"/>
  <c r="D73" i="2"/>
  <c r="D31" i="13"/>
  <c r="C31" i="13" s="1"/>
  <c r="L330" i="1"/>
  <c r="J640" i="1"/>
  <c r="G33" i="13"/>
  <c r="I451" i="1"/>
  <c r="H632" i="1" s="1"/>
  <c r="J632" i="1" s="1"/>
  <c r="G542" i="1"/>
  <c r="K539" i="1"/>
  <c r="K542" i="1" s="1"/>
  <c r="C5" i="13"/>
  <c r="D55" i="2"/>
  <c r="D43" i="2"/>
  <c r="G32" i="2"/>
  <c r="L400" i="1"/>
  <c r="C130" i="2"/>
  <c r="C133" i="2" s="1"/>
  <c r="C136" i="2" s="1"/>
  <c r="E33" i="13"/>
  <c r="D35" i="13" s="1"/>
  <c r="C8" i="13"/>
  <c r="F96" i="2"/>
  <c r="J19" i="1"/>
  <c r="G611" i="1" s="1"/>
  <c r="G9" i="2"/>
  <c r="G19" i="2" s="1"/>
  <c r="J630" i="1"/>
  <c r="C38" i="10"/>
  <c r="G641" i="1"/>
  <c r="J641" i="1" s="1"/>
  <c r="G613" i="1"/>
  <c r="J613" i="1" s="1"/>
  <c r="L529" i="1"/>
  <c r="I450" i="1"/>
  <c r="L221" i="1"/>
  <c r="G650" i="1" s="1"/>
  <c r="G654" i="1" s="1"/>
  <c r="C19" i="10"/>
  <c r="C115" i="2"/>
  <c r="E102" i="2"/>
  <c r="J330" i="1"/>
  <c r="J344" i="1" s="1"/>
  <c r="C114" i="2"/>
  <c r="E101" i="2"/>
  <c r="C18" i="10"/>
  <c r="L239" i="1"/>
  <c r="H650" i="1" s="1"/>
  <c r="H654" i="1" s="1"/>
  <c r="L519" i="1"/>
  <c r="L535" i="1" s="1"/>
  <c r="C101" i="2"/>
  <c r="C107" i="2" s="1"/>
  <c r="G652" i="1"/>
  <c r="C17" i="10"/>
  <c r="G612" i="1"/>
  <c r="J612" i="1" s="1"/>
  <c r="J263" i="1"/>
  <c r="C113" i="2"/>
  <c r="C120" i="2" s="1"/>
  <c r="E77" i="2"/>
  <c r="E83" i="2" s="1"/>
  <c r="L343" i="1"/>
  <c r="F652" i="1"/>
  <c r="C16" i="10"/>
  <c r="D15" i="13"/>
  <c r="C15" i="13" s="1"/>
  <c r="D6" i="13"/>
  <c r="C6" i="13" s="1"/>
  <c r="C25" i="10"/>
  <c r="F33" i="13"/>
  <c r="C156" i="2"/>
  <c r="G156" i="2" s="1"/>
  <c r="D119" i="2"/>
  <c r="D120" i="2" s="1"/>
  <c r="D137" i="2" s="1"/>
  <c r="E123" i="2"/>
  <c r="E136" i="2" s="1"/>
  <c r="J10" i="1"/>
  <c r="G10" i="2" s="1"/>
  <c r="F540" i="1"/>
  <c r="K540" i="1" s="1"/>
  <c r="G651" i="1"/>
  <c r="F651" i="1"/>
  <c r="I651" i="1" s="1"/>
  <c r="L374" i="1"/>
  <c r="G626" i="1" s="1"/>
  <c r="J626" i="1" s="1"/>
  <c r="E103" i="2"/>
  <c r="H662" i="1" l="1"/>
  <c r="C6" i="10" s="1"/>
  <c r="H657" i="1"/>
  <c r="I650" i="1"/>
  <c r="F654" i="1"/>
  <c r="I652" i="1"/>
  <c r="E107" i="2"/>
  <c r="E137" i="2" s="1"/>
  <c r="L344" i="1"/>
  <c r="G623" i="1" s="1"/>
  <c r="J623" i="1" s="1"/>
  <c r="G627" i="1"/>
  <c r="J627" i="1" s="1"/>
  <c r="H636" i="1"/>
  <c r="J636" i="1" s="1"/>
  <c r="C36" i="10"/>
  <c r="D96" i="2"/>
  <c r="G616" i="1"/>
  <c r="J616" i="1" s="1"/>
  <c r="J44" i="1"/>
  <c r="H611" i="1" s="1"/>
  <c r="J611" i="1" s="1"/>
  <c r="F542" i="1"/>
  <c r="D33" i="13"/>
  <c r="D36" i="13" s="1"/>
  <c r="C28" i="10"/>
  <c r="D18" i="10" s="1"/>
  <c r="D19" i="10"/>
  <c r="D17" i="10"/>
  <c r="G662" i="1"/>
  <c r="C5" i="10" s="1"/>
  <c r="G657" i="1"/>
  <c r="D25" i="10"/>
  <c r="C137" i="2"/>
  <c r="D16" i="10" l="1"/>
  <c r="C30" i="10"/>
  <c r="D22" i="10"/>
  <c r="D11" i="10"/>
  <c r="D23" i="10"/>
  <c r="D21" i="10"/>
  <c r="D26" i="10"/>
  <c r="D12" i="10"/>
  <c r="D10" i="10"/>
  <c r="D20" i="10"/>
  <c r="D15" i="10"/>
  <c r="D24" i="10"/>
  <c r="D13" i="10"/>
  <c r="D27" i="10"/>
  <c r="F662" i="1"/>
  <c r="C4" i="10" s="1"/>
  <c r="F657" i="1"/>
  <c r="I654" i="1"/>
  <c r="D36" i="10"/>
  <c r="C41" i="10"/>
  <c r="H646" i="1"/>
  <c r="D28" i="10" l="1"/>
  <c r="I662" i="1"/>
  <c r="C7" i="10" s="1"/>
  <c r="I657" i="1"/>
  <c r="D39" i="10"/>
  <c r="D37" i="10"/>
  <c r="D40" i="10"/>
  <c r="D35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0EB0E54-2078-482B-B869-373ADCAE31E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6464F70-F392-4A6A-88B9-CA688B49954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49AE627-F291-4E35-B4B9-78B798CFE036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0FAA7C7-01E9-4936-BE4B-E8D32B4B288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364D0F5C-BB05-433E-AE2F-5C586E2A1433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B2E082D-5770-4BFE-80E9-512ED6C58A5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FBB67A4-D7F4-4BAB-AC12-BB39AB62C37D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9F9B55A-4898-4CCF-915C-38505510D06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19CFE02-7FD4-4582-A372-9E9FA8A6506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1AC051DA-A0C5-4C2C-B51F-98C617555DE6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79F8488-C67D-4114-8CB0-4243280B6FD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90855C0-181B-4EEF-A11B-B4ADC414E20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<sst xmlns="http://schemas.openxmlformats.org/spreadsheetml/2006/main" count="3889" uniqueCount="918">
  <si>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</si>
  <si>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</si>
  <si>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</si>
  <si>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</si>
  <si>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</si>
  <si>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</si>
  <si>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</si>
  <si>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</si>
  <si>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</si>
  <si>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</si>
  <si>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</si>
  <si>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</si>
  <si>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</si>
  <si>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</si>
  <si>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</si>
  <si>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</si>
  <si>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</si>
  <si>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</si>
  <si>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</si>
  <si>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</si>
  <si>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</si>
  <si>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</si>
  <si>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</si>
  <si>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</si>
  <si>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</si>
  <si>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</si>
  <si>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</si>
  <si>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</si>
  <si>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</si>
  <si>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</si>
  <si>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</si>
  <si>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</si>
  <si>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</si>
  <si>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</si>
  <si>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</si>
  <si>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</si>
  <si>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</si>
  <si>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</si>
  <si>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</si>
  <si>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</si>
  <si>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</si>
  <si>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</si>
  <si>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</si>
  <si>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</si>
  <si>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</si>
  <si>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</si>
  <si>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</si>
  <si>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</si>
  <si>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</si>
  <si>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</si>
  <si>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</si>
  <si>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</si>
  <si>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</si>
  <si>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</si>
  <si>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</si>
  <si>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</si>
  <si>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</si>
  <si>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</si>
  <si>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</si>
  <si>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</si>
  <si>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</si>
  <si>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</si>
  <si>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</si>
  <si>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</si>
  <si>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</si>
  <si>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</si>
  <si>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</si>
  <si>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</si>
  <si>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</si>
  <si>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</si>
  <si>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</si>
  <si>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</si>
  <si>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</si>
  <si>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</si>
  <si>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</si>
  <si>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</si>
  <si>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</si>
  <si>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</si>
  <si>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</si>
  <si>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</si>
  <si>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</si>
  <si>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</si>
  <si>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</si>
  <si>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</si>
  <si>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</si>
  <si>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</si>
  <si>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</si>
  <si>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</si>
  <si>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</si>
  <si>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</si>
  <si>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</si>
  <si>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</si>
  <si>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</si>
  <si>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</si>
  <si>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</si>
  <si>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</si>
  <si>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</si>
  <si>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</si>
  <si>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</si>
  <si>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</si>
  <si>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</si>
  <si>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</si>
  <si>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</si>
  <si>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</si>
  <si>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</si>
  <si>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</si>
  <si>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</si>
  <si>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</si>
  <si>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</si>
  <si>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</si>
  <si>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</si>
  <si>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</si>
  <si>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</si>
  <si>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</si>
  <si>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</si>
  <si>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</si>
  <si>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</si>
  <si>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</si>
  <si>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</si>
  <si>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</si>
  <si>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</si>
  <si>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</si>
  <si>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</si>
  <si>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</si>
  <si>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</si>
  <si>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</si>
  <si>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</si>
  <si>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</si>
  <si>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</si>
  <si>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</si>
  <si>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</si>
  <si>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</si>
  <si>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</si>
  <si>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</si>
  <si>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</si>
  <si>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</si>
  <si>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</si>
  <si>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</si>
  <si>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</si>
  <si>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</si>
  <si>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</si>
  <si>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</si>
  <si>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</si>
  <si>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</si>
  <si>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</si>
  <si>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</si>
  <si>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</si>
  <si>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</si>
  <si>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</si>
  <si>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</si>
  <si>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</si>
  <si>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</si>
  <si>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</si>
  <si>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</si>
  <si>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</si>
  <si>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</si>
  <si>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</si>
  <si>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</si>
  <si>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</si>
  <si>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</si>
  <si>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</si>
  <si>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</si>
  <si>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</si>
  <si>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</si>
  <si>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</si>
  <si>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</si>
  <si>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</si>
  <si>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</si>
  <si>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</si>
  <si>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</si>
  <si>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</si>
  <si>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</si>
  <si>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</si>
  <si>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</si>
  <si>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</si>
  <si>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</si>
  <si>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</si>
  <si>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</si>
  <si>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</si>
  <si>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</si>
  <si>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</si>
  <si>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</si>
  <si>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</si>
  <si>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</si>
  <si>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</si>
  <si>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</si>
  <si>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</si>
  <si>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</si>
  <si>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</si>
  <si>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</si>
  <si>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</si>
  <si>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</si>
  <si>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</si>
  <si>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</si>
  <si>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</si>
  <si>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</si>
  <si>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</si>
  <si>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</si>
  <si>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</si>
  <si>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</si>
  <si>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</si>
  <si>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</si>
  <si>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</si>
  <si>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</si>
  <si>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</si>
  <si>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</si>
  <si>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</si>
  <si>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</si>
  <si>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</si>
  <si>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</si>
  <si>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</si>
  <si>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</si>
  <si>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</si>
  <si>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</si>
  <si>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</si>
  <si>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</si>
  <si>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</si>
  <si>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</si>
  <si>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</si>
  <si>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</si>
  <si>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</si>
  <si>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</si>
  <si>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</si>
  <si>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</si>
  <si>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</si>
  <si>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</si>
  <si>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</si>
  <si>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</si>
  <si>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</si>
  <si>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</si>
  <si>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</si>
  <si>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</si>
  <si>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</si>
  <si>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</si>
  <si>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</si>
  <si>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</si>
  <si>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</si>
  <si>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</si>
  <si>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</si>
  <si>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</si>
  <si>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</si>
  <si>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</si>
  <si>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</si>
  <si>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</si>
  <si>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</si>
  <si>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</si>
  <si>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</si>
  <si>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</si>
  <si>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</si>
  <si>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</si>
  <si>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</si>
  <si>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</si>
  <si>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</si>
  <si>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</si>
  <si>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</si>
  <si>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</si>
  <si>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</si>
  <si>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</si>
  <si>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</si>
  <si>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</si>
  <si>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</si>
  <si>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</si>
  <si>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</si>
  <si>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</si>
  <si>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</si>
  <si>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</si>
  <si>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</si>
  <si>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</si>
  <si>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</si>
  <si>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</si>
  <si>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</si>
  <si>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</si>
  <si>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</si>
  <si>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</si>
  <si>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</si>
  <si>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</si>
  <si>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</si>
  <si>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</si>
  <si>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</si>
  <si>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</si>
  <si>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</si>
  <si>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</si>
  <si>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</si>
  <si>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</si>
  <si>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</si>
  <si>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</si>
  <si>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</si>
  <si>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</si>
  <si>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</si>
  <si>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</si>
  <si>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</si>
  <si>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</si>
  <si>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</si>
  <si>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</si>
  <si>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</si>
  <si>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</si>
  <si>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</si>
  <si>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</si>
  <si>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</si>
  <si>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</si>
  <si>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</si>
  <si>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</si>
  <si>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</si>
  <si>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</si>
  <si>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</si>
  <si>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</si>
  <si>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</si>
  <si>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</si>
  <si>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</si>
  <si>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</si>
  <si>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</si>
  <si>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</si>
  <si>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</si>
  <si>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</si>
  <si>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</si>
  <si>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</si>
  <si>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</si>
  <si>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</si>
  <si>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</si>
  <si>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</si>
  <si>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</si>
  <si>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</si>
  <si>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</si>
  <si>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</si>
  <si>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</si>
  <si>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</si>
  <si>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</si>
  <si>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</si>
  <si>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</si>
  <si>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</si>
  <si>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</si>
  <si>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</si>
  <si>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</si>
  <si>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</si>
  <si>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</si>
  <si>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</si>
  <si>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</si>
  <si>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</si>
  <si>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</si>
  <si>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</si>
  <si>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</si>
  <si>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</si>
  <si>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</si>
  <si>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</si>
  <si>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</si>
  <si>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</si>
  <si>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</si>
  <si>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</si>
  <si>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</si>
  <si>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</si>
  <si>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</si>
  <si>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</si>
  <si>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</si>
  <si>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</si>
  <si>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</si>
  <si>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</si>
  <si>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</si>
  <si>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</si>
  <si>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</si>
  <si>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</si>
  <si>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</si>
  <si>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</si>
  <si>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</si>
  <si>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</si>
  <si>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</si>
  <si>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</si>
  <si>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</si>
  <si>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</si>
  <si>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</si>
  <si>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</si>
  <si>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</si>
  <si>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</si>
  <si>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</si>
  <si>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</si>
  <si>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</si>
  <si>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</si>
  <si>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</si>
  <si>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</si>
  <si>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</si>
  <si>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</si>
  <si>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</si>
  <si>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</si>
  <si>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</si>
  <si>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</si>
  <si>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</si>
  <si>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</si>
  <si>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</si>
  <si>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</si>
  <si>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</si>
  <si>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</si>
  <si>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</si>
  <si>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</si>
  <si>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</si>
  <si>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</si>
  <si>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</si>
  <si>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</si>
  <si>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</si>
  <si>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</si>
  <si>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</si>
  <si>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</si>
  <si>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</si>
  <si>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</si>
  <si>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</si>
  <si>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</si>
  <si>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</si>
  <si>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</si>
  <si>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</si>
  <si>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</si>
  <si>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</si>
  <si>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</si>
  <si>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</si>
  <si>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</si>
  <si>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</si>
  <si>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</si>
  <si>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</si>
  <si>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</si>
  <si>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</si>
  <si>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</si>
  <si>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</si>
  <si>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</si>
  <si>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</si>
  <si>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</si>
  <si>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</si>
  <si>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</si>
  <si>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</si>
  <si>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</si>
  <si>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</si>
  <si>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</si>
  <si>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</si>
  <si>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</si>
  <si>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</si>
  <si>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</si>
  <si>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</si>
  <si>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</si>
  <si>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</si>
  <si>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</si>
  <si>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</si>
  <si>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</si>
  <si>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</si>
  <si>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</si>
  <si>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</si>
  <si>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</si>
  <si>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</si>
  <si>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</si>
  <si>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</si>
  <si>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</si>
  <si>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</si>
  <si>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</si>
  <si>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</si>
  <si>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</si>
  <si>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</si>
  <si>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</si>
  <si>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</si>
  <si>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</si>
  <si>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</si>
  <si>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</si>
  <si>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</si>
  <si>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</si>
  <si>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</si>
  <si>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</si>
  <si>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</si>
  <si>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</si>
  <si>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</si>
  <si>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</si>
  <si>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</si>
  <si>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</si>
  <si>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</si>
  <si>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</si>
  <si>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</si>
  <si>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</si>
  <si>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</si>
  <si>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</si>
  <si>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</si>
  <si>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</si>
  <si>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</si>
  <si>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</si>
  <si>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</si>
  <si>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</si>
  <si>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</si>
  <si>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</si>
  <si>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</si>
  <si>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</si>
  <si>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</si>
  <si>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</si>
  <si>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</si>
  <si>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</si>
  <si>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</si>
  <si>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</si>
  <si>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</si>
  <si>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</si>
  <si>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</si>
  <si>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</si>
  <si>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</si>
  <si>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</si>
  <si>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</si>
  <si>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</si>
  <si>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</si>
  <si>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</si>
  <si>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</si>
  <si>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</si>
  <si>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</si>
  <si>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</si>
  <si>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</si>
  <si>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</si>
  <si>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</si>
  <si>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</si>
  <si>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</si>
  <si>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</si>
  <si>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</si>
  <si>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</si>
  <si>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</si>
  <si>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</si>
  <si>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</si>
  <si>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</si>
  <si>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</si>
  <si>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</si>
  <si>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</si>
  <si>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</si>
  <si>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</si>
  <si>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</si>
  <si>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</si>
  <si>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</si>
  <si>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</si>
  <si>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</si>
  <si>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</si>
  <si>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</si>
  <si>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</si>
  <si>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</si>
  <si>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</si>
  <si>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</si>
  <si>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</si>
  <si>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</si>
  <si>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</si>
  <si>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</si>
  <si>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</si>
  <si>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</si>
  <si>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</si>
  <si>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</si>
  <si>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</si>
  <si>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</si>
  <si>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</si>
  <si>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</si>
  <si>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</si>
  <si>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</si>
  <si>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</si>
  <si>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</si>
  <si>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</si>
  <si>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</si>
  <si>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</si>
  <si>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</si>
  <si>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</si>
  <si>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</si>
  <si>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</si>
  <si>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</si>
  <si>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</si>
  <si>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</si>
  <si>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</si>
  <si>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</si>
  <si>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</si>
  <si>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</si>
  <si>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</si>
  <si>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</si>
  <si>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</si>
  <si>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</si>
  <si>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</si>
  <si>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</si>
  <si>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</si>
  <si>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</si>
  <si>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</si>
  <si>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</si>
  <si>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</si>
  <si>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</si>
  <si>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</si>
  <si>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</si>
  <si>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</si>
  <si>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</si>
  <si>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</si>
  <si>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</si>
  <si>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</si>
  <si>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</si>
  <si>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</si>
  <si>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</si>
  <si>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</si>
  <si>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</si>
  <si>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</si>
  <si>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</si>
  <si>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</si>
  <si>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</si>
  <si>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</si>
  <si>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</si>
  <si>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</si>
  <si>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</si>
  <si>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</si>
  <si>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</si>
  <si>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</si>
  <si>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</si>
  <si>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</si>
  <si>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</si>
  <si>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</si>
  <si>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</si>
  <si>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</si>
  <si>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</si>
  <si>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</si>
  <si>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</si>
  <si>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</si>
  <si>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</si>
  <si>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</si>
  <si>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</si>
  <si>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</si>
  <si>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</si>
  <si>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</si>
  <si>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</si>
  <si>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</si>
  <si>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</si>
  <si>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</si>
  <si>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</si>
  <si>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</si>
  <si>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</si>
  <si>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</si>
  <si>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</si>
  <si>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</si>
  <si>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</si>
  <si>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</si>
  <si>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</si>
  <si>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</si>
  <si>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</si>
  <si>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</si>
  <si>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</si>
  <si>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</si>
  <si>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</si>
  <si>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</si>
  <si>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</si>
  <si>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</si>
  <si>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</si>
  <si>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</si>
  <si>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</si>
  <si>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</si>
  <si>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</si>
  <si>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</si>
  <si>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</si>
  <si>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</si>
  <si>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</si>
  <si>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</si>
  <si>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</si>
  <si>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</si>
  <si>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</si>
  <si>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</si>
  <si>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</si>
  <si>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</si>
  <si>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</si>
  <si>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</si>
  <si>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</si>
  <si>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</si>
  <si>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</si>
  <si>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</si>
  <si>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</si>
  <si>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</si>
  <si>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</si>
  <si>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</si>
  <si>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</si>
  <si>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</si>
  <si>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</si>
  <si>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</si>
  <si>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</si>
  <si>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</si>
  <si>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</si>
  <si>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</si>
  <si>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</si>
  <si>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</si>
  <si>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</si>
  <si>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</si>
  <si>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</si>
  <si>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</si>
  <si>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</si>
  <si>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</si>
  <si>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</si>
  <si>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</si>
  <si>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</si>
  <si>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</si>
  <si>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</si>
  <si>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</si>
  <si>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</si>
  <si>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</si>
  <si>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</si>
  <si>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</si>
  <si>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</si>
  <si>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</si>
  <si>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</si>
  <si>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</si>
  <si>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</si>
  <si>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</si>
  <si>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</si>
  <si>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</si>
  <si>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</si>
  <si>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</si>
  <si>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</si>
  <si>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</si>
  <si>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</si>
  <si>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</si>
  <si>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</si>
  <si>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</si>
  <si>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</si>
  <si>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</si>
  <si>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</si>
  <si>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</si>
  <si>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</si>
  <si>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</si>
  <si>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</si>
  <si>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</si>
  <si>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</si>
  <si>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</si>
  <si>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</si>
  <si>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</si>
  <si>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</si>
  <si>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</si>
  <si>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</si>
  <si>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</si>
  <si>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</si>
  <si>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</si>
  <si>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</si>
  <si>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</si>
  <si>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</si>
  <si>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</si>
  <si>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</si>
  <si>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</si>
  <si>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</si>
  <si>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</si>
  <si>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</si>
  <si>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</si>
  <si>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</si>
  <si>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</si>
  <si>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</si>
  <si>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</si>
  <si>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</si>
  <si>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</si>
  <si>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</si>
  <si>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</si>
  <si>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</si>
  <si>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</si>
  <si>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</si>
  <si>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</si>
  <si>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</si>
  <si>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</si>
  <si>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</si>
  <si>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</si>
  <si>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</si>
  <si>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</si>
  <si>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</si>
  <si>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</si>
  <si>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</si>
  <si>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</si>
  <si>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</si>
  <si>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</si>
  <si>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</si>
  <si>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</si>
  <si>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</si>
  <si>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</si>
  <si>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</si>
  <si>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</si>
  <si>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</si>
  <si>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</si>
  <si>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</si>
  <si>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</si>
  <si>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</si>
  <si>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</si>
  <si>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</si>
  <si>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</si>
  <si>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</si>
  <si>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</si>
  <si>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</si>
  <si>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</si>
  <si>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</si>
  <si>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</si>
  <si>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</si>
  <si>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</si>
  <si>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</si>
  <si>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</si>
  <si>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</si>
  <si>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</si>
  <si>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</si>
  <si>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</si>
  <si>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</si>
  <si>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</si>
  <si>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</si>
  <si>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</si>
  <si>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</si>
  <si>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</si>
  <si>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</si>
  <si>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</si>
  <si>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</si>
  <si>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</si>
  <si>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</si>
  <si>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</si>
  <si>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</si>
  <si>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</si>
  <si>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</si>
  <si>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</si>
  <si>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</si>
  <si>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</si>
  <si>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</si>
  <si>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</si>
  <si>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</si>
  <si>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</si>
  <si>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</si>
  <si>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</si>
  <si>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</si>
  <si>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</si>
  <si>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</si>
  <si>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</si>
  <si>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</si>
  <si>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</si>
  <si>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</si>
  <si>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</si>
  <si>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</si>
  <si>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</si>
  <si>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</si>
  <si>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</si>
  <si>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</si>
  <si>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</si>
  <si>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</si>
  <si>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</si>
  <si>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</si>
  <si>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</si>
  <si>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</si>
  <si>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</si>
  <si>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</si>
  <si>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</si>
  <si>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</si>
  <si>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</si>
  <si>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</si>
  <si>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</si>
  <si>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</si>
  <si>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</si>
  <si>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</si>
  <si>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</si>
  <si>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</si>
  <si>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</si>
  <si>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</si>
  <si>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</si>
  <si>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</si>
  <si>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</si>
  <si>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</si>
  <si>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</si>
  <si>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</si>
  <si>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</si>
  <si>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</si>
  <si>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</si>
  <si>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</si>
  <si>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</si>
  <si>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</si>
  <si>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</si>
  <si>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</si>
  <si>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</si>
  <si>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</si>
  <si>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</si>
  <si>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</si>
  <si>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</si>
  <si>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</si>
  <si>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</si>
  <si>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</si>
  <si>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</si>
  <si>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</si>
  <si>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</si>
  <si>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</si>
  <si>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</si>
  <si>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</si>
  <si>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</si>
  <si>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</si>
  <si>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</si>
  <si>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</si>
  <si>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</si>
  <si>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</si>
  <si>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</si>
  <si>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</si>
  <si>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</si>
  <si>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</si>
  <si>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</si>
  <si>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</si>
  <si>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</si>
  <si>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</si>
  <si>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</si>
  <si>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</si>
  <si>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</si>
  <si>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</si>
  <si>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</si>
  <si>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</si>
  <si>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</si>
  <si>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</si>
  <si>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</si>
  <si>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</si>
  <si>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</si>
  <si>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</si>
  <si>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</si>
  <si>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</si>
  <si>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$.01 Building Aid variance with State Revenue Report</t>
  </si>
  <si>
    <t>State Voc Ed Tuition reported on Cash basis.  The District accrued an additional $25,800</t>
  </si>
  <si>
    <t>State Voce Ed Transportation reported on Cash basis.  The District accrued an additional $1100</t>
  </si>
  <si>
    <t>$206,214.67 reclassified to Food Services-Summer Feeding Program &amp; Fresh Fruits and Vegetables</t>
  </si>
  <si>
    <t>$542.60 reclassed to Food Services - Summer Feeding Program</t>
  </si>
  <si>
    <t xml:space="preserve">   from Special Revenue Funds</t>
  </si>
  <si>
    <t>$225,726.02 Reclassified to Food Service--Fresh Fruits &amp; Vegetables and Summer Feeding Program</t>
  </si>
  <si>
    <t>1,2,3</t>
  </si>
  <si>
    <t>3&amp;6</t>
  </si>
  <si>
    <t>To reflect reconciling items above lin lines 5 through 10:</t>
  </si>
  <si>
    <t>$225,726.02 expense transfer to Food Service from Special Revenue Funds</t>
  </si>
  <si>
    <t>Scholarships</t>
  </si>
  <si>
    <t>$26,900 State Voc Ed cash vs accrual variance</t>
  </si>
  <si>
    <t>$255,723.55 revenue transfer to Food Service from Special Revenue Funds</t>
  </si>
  <si>
    <t>11&amp;14</t>
  </si>
  <si>
    <t>$48,966.28 reclassified to Food Services-Summer Feeding Program</t>
  </si>
  <si>
    <t>4 Rev</t>
  </si>
  <si>
    <t>5 Rev</t>
  </si>
  <si>
    <t>3 Rev</t>
  </si>
  <si>
    <t>15 Exp</t>
  </si>
  <si>
    <t xml:space="preserve">      See District &amp; DOE Notes Tab</t>
  </si>
  <si>
    <t xml:space="preserve">       See District &amp; DOE Notes Tab</t>
  </si>
  <si>
    <t>***    SEE SUPPLEMENTAL SCHEDULE    ***</t>
  </si>
  <si>
    <t>NASHUA SCHOOL DISTRICT, SAU #42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</si>
</sst>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" fontId="11" fillId="0" borderId="0" xfId="0" applyNumberFormat="1" applyFont="1" applyBorder="1" applyAlignment="1" applyProtection="1">
      <alignment horizontal="righ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CDBB-B05F-45ED-9BA7-910E4D3DD92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917</v>
      </c>
      <c r="B2" s="21">
        <v>371</v>
      </c>
      <c r="C2" s="21">
        <v>371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/>
      <c r="J9" s="67">
        <f>SUM(I431)</f>
        <v>5625632.8600000003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3795502.3600000003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497646.31</v>
      </c>
      <c r="H12" s="18"/>
      <c r="I12" s="18">
        <v>2527705.52</v>
      </c>
      <c r="J12" s="67">
        <f>SUM(I433)</f>
        <v>25936.009999999995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24968.15</v>
      </c>
      <c r="H13" s="18">
        <v>3959853.61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v>233064.52</v>
      </c>
      <c r="I14" s="18"/>
      <c r="J14" s="67">
        <f>SUM(I435)</f>
        <v>2001.8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>
        <v>17.46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522614.46</v>
      </c>
      <c r="H19" s="41">
        <f>SUM(H9:H18)</f>
        <v>4192935.59</v>
      </c>
      <c r="I19" s="41">
        <f>SUM(I9:I18)</f>
        <v>2527705.52</v>
      </c>
      <c r="J19" s="41">
        <f>SUM(J9:J18)</f>
        <v>9449073.0300000012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2065066.13</v>
      </c>
      <c r="I23" s="18"/>
      <c r="J23" s="67">
        <f>SUM(I440)</f>
        <v>605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>
        <v>115485.37</v>
      </c>
      <c r="H25" s="18">
        <v>106755.38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22733.18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13223.58</v>
      </c>
      <c r="H32" s="18">
        <v>496596.88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128708.95</v>
      </c>
      <c r="H33" s="41">
        <f>SUM(H23:H32)</f>
        <v>2691151.57</v>
      </c>
      <c r="I33" s="41">
        <f>SUM(I23:I32)</f>
        <v>0</v>
      </c>
      <c r="J33" s="41">
        <f>SUM(J23:J32)</f>
        <v>605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393905.51</v>
      </c>
      <c r="H41" s="18">
        <v>1501784.02</v>
      </c>
      <c r="I41" s="18">
        <v>2527705.52</v>
      </c>
      <c r="J41" s="13">
        <f>SUM(I449)</f>
        <v>9448468.0300000012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393905.51</v>
      </c>
      <c r="H43" s="41">
        <f>SUM(H35:H42)</f>
        <v>1501784.02</v>
      </c>
      <c r="I43" s="41">
        <f>SUM(I35:I42)</f>
        <v>2527705.52</v>
      </c>
      <c r="J43" s="41">
        <f>SUM(J35:J42)</f>
        <v>9448468.0300000012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522614.46</v>
      </c>
      <c r="H44" s="41">
        <f>H43+H33</f>
        <v>4192935.59</v>
      </c>
      <c r="I44" s="41">
        <f>I43+I33</f>
        <v>2527705.52</v>
      </c>
      <c r="J44" s="41">
        <f>J43+J33</f>
        <v>9449073.0300000012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70575883.34-1077410-90</f>
        <v>69498383.340000004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69498383.340000004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12432.93</v>
      </c>
      <c r="G55" s="24" t="s">
        <v>312</v>
      </c>
      <c r="H55" s="18">
        <v>315081.67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63873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64125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88618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>
        <v>498071.3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>
        <v>59255.11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12432.93</v>
      </c>
      <c r="G71" s="45" t="s">
        <v>312</v>
      </c>
      <c r="H71" s="41">
        <f>SUM(H55:H70)</f>
        <v>1089024.08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112442.25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112442.25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>
        <v>787.25</v>
      </c>
      <c r="H88" s="18"/>
      <c r="I88" s="18"/>
      <c r="J88" s="18">
        <v>413198.4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2424070.73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123352.76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v>129865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187086.97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51483.25</v>
      </c>
      <c r="G102" s="18">
        <v>11886.13</v>
      </c>
      <c r="H102" s="18">
        <v>58118.86</v>
      </c>
      <c r="I102" s="18"/>
      <c r="J102" s="18">
        <v>1502.81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51483.25</v>
      </c>
      <c r="G103" s="41">
        <f>SUM(G88:G102)</f>
        <v>2436744.11</v>
      </c>
      <c r="H103" s="41">
        <f>SUM(H88:H102)</f>
        <v>311336.62</v>
      </c>
      <c r="I103" s="41">
        <f>SUM(I88:I102)</f>
        <v>0</v>
      </c>
      <c r="J103" s="41">
        <f>SUM(J88:J102)</f>
        <v>601788.18000000005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69674741.770000011</v>
      </c>
      <c r="G104" s="41">
        <f>G52+G103</f>
        <v>2436744.11</v>
      </c>
      <c r="H104" s="41">
        <f>H52+H71+H86+H103</f>
        <v>1400360.7000000002</v>
      </c>
      <c r="I104" s="41">
        <f>I52+I103</f>
        <v>0</v>
      </c>
      <c r="J104" s="41">
        <f>J52+J103</f>
        <v>601788.18000000005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26017042.469999999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19801062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9981929.5299999993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55800034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2680078.91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818178.88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>
        <v>137907.74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>
        <v>2810.4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349871.7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277175.57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29250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165097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3498257.79</v>
      </c>
      <c r="G128" s="41">
        <f>SUM(G115:G127)</f>
        <v>277175.57</v>
      </c>
      <c r="H128" s="41">
        <f>SUM(H115:H127)</f>
        <v>684936.84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59298291.789999999</v>
      </c>
      <c r="G132" s="41">
        <f>G113+SUM(G128:G129)</f>
        <v>277175.57</v>
      </c>
      <c r="H132" s="41">
        <f>H113+SUM(H128:H131)</f>
        <v>684936.84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715092.88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4791415.75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2068250.42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383235.97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2186283.17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3925478.82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1199396.92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16160</v>
      </c>
      <c r="H153" s="18">
        <f>34732.76-16160</f>
        <v>18572.760000000002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1199396.92</v>
      </c>
      <c r="G154" s="41">
        <f>SUM(G142:G153)</f>
        <v>2202443.17</v>
      </c>
      <c r="H154" s="41">
        <f>SUM(H142:H153)</f>
        <v>11902046.6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1199396.92</v>
      </c>
      <c r="G161" s="41">
        <f>G139+G154+SUM(G155:G160)</f>
        <v>2202443.17</v>
      </c>
      <c r="H161" s="41">
        <f>H139+H154+SUM(H155:H160)</f>
        <v>11902046.6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950000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412500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412500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950000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1465000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1465000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1877500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950000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132049930.48</v>
      </c>
      <c r="G185" s="47">
        <f>G104+G132+G161+G184</f>
        <v>4916362.8499999996</v>
      </c>
      <c r="H185" s="47">
        <f>H104+H132+H161+H184</f>
        <v>13987344.140000001</v>
      </c>
      <c r="I185" s="47">
        <f>I104+I132+I161+I184</f>
        <v>0</v>
      </c>
      <c r="J185" s="47">
        <f>J104+J132+J184</f>
        <v>1551788.1800000002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15877140.25</v>
      </c>
      <c r="G189" s="18">
        <v>6117140.3200000003</v>
      </c>
      <c r="H189" s="18">
        <v>55250.39</v>
      </c>
      <c r="I189" s="18">
        <v>306957.31</v>
      </c>
      <c r="J189" s="18">
        <v>4892.16</v>
      </c>
      <c r="K189" s="18">
        <v>0</v>
      </c>
      <c r="L189" s="19">
        <f>SUM(F189:K189)</f>
        <v>22361380.43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6607381.8799999999</v>
      </c>
      <c r="G190" s="18">
        <v>2488859.89</v>
      </c>
      <c r="H190" s="18">
        <v>706542.38</v>
      </c>
      <c r="I190" s="18">
        <v>22837.23</v>
      </c>
      <c r="J190" s="18">
        <v>0</v>
      </c>
      <c r="K190" s="18">
        <v>0</v>
      </c>
      <c r="L190" s="19">
        <f>SUM(F190:K190)</f>
        <v>9825621.3800000008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62091.39</v>
      </c>
      <c r="G192" s="18">
        <v>1935.59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64026.979999999996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2614065.98</v>
      </c>
      <c r="G194" s="18">
        <v>617435.68000000005</v>
      </c>
      <c r="H194" s="18">
        <v>329007.67</v>
      </c>
      <c r="I194" s="18">
        <v>13362.64</v>
      </c>
      <c r="J194" s="18">
        <v>0</v>
      </c>
      <c r="K194" s="18">
        <v>183</v>
      </c>
      <c r="L194" s="19">
        <f t="shared" ref="L194:L200" si="0">SUM(F194:K194)</f>
        <v>3574054.97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981850.61</v>
      </c>
      <c r="G195" s="18">
        <v>257557.59</v>
      </c>
      <c r="H195" s="18">
        <v>50035.62</v>
      </c>
      <c r="I195" s="18">
        <v>235773.76</v>
      </c>
      <c r="J195" s="18">
        <v>10479.379999999999</v>
      </c>
      <c r="K195" s="18">
        <v>0</v>
      </c>
      <c r="L195" s="19">
        <f t="shared" si="0"/>
        <v>1535696.96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829202.44</v>
      </c>
      <c r="G196" s="18">
        <v>38621.56</v>
      </c>
      <c r="H196" s="18">
        <v>147119.17000000001</v>
      </c>
      <c r="I196" s="18">
        <v>16056.98</v>
      </c>
      <c r="J196" s="18">
        <v>33410.43</v>
      </c>
      <c r="K196" s="18">
        <v>23288.9</v>
      </c>
      <c r="L196" s="19">
        <f t="shared" si="0"/>
        <v>1087699.48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2530390.9</v>
      </c>
      <c r="G197" s="18">
        <v>1025591.62</v>
      </c>
      <c r="H197" s="18">
        <v>1656.82</v>
      </c>
      <c r="I197" s="18">
        <v>15298.45</v>
      </c>
      <c r="J197" s="18">
        <v>0</v>
      </c>
      <c r="K197" s="18">
        <v>532</v>
      </c>
      <c r="L197" s="19">
        <f t="shared" si="0"/>
        <v>3573469.79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264734.27</v>
      </c>
      <c r="G198" s="18">
        <v>79930.41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344664.68000000005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2036547.92</v>
      </c>
      <c r="G199" s="18">
        <v>608131.25</v>
      </c>
      <c r="H199" s="18">
        <v>992817.95</v>
      </c>
      <c r="I199" s="18">
        <v>1342000.56</v>
      </c>
      <c r="J199" s="18">
        <v>22913.46</v>
      </c>
      <c r="K199" s="18"/>
      <c r="L199" s="19">
        <f t="shared" si="0"/>
        <v>5002411.1399999997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44186.81</v>
      </c>
      <c r="G200" s="18">
        <v>17992.150000000001</v>
      </c>
      <c r="H200" s="18">
        <v>1786853.85</v>
      </c>
      <c r="I200" s="18">
        <v>0</v>
      </c>
      <c r="J200" s="18">
        <v>0</v>
      </c>
      <c r="K200" s="18">
        <v>0</v>
      </c>
      <c r="L200" s="19">
        <f t="shared" si="0"/>
        <v>1849032.81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137914.34</v>
      </c>
      <c r="G201" s="18">
        <v>15934.95</v>
      </c>
      <c r="H201" s="18">
        <v>4228.7299999999996</v>
      </c>
      <c r="I201" s="18">
        <v>0</v>
      </c>
      <c r="J201" s="18">
        <v>0</v>
      </c>
      <c r="K201" s="18">
        <v>0</v>
      </c>
      <c r="L201" s="19">
        <f>SUM(F201:K201)</f>
        <v>158078.02000000002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31985506.789999999</v>
      </c>
      <c r="G203" s="41">
        <f t="shared" si="1"/>
        <v>11269131.01</v>
      </c>
      <c r="H203" s="41">
        <f t="shared" si="1"/>
        <v>4073512.58</v>
      </c>
      <c r="I203" s="41">
        <f t="shared" si="1"/>
        <v>1952286.93</v>
      </c>
      <c r="J203" s="41">
        <f t="shared" si="1"/>
        <v>71695.429999999993</v>
      </c>
      <c r="K203" s="41">
        <f t="shared" si="1"/>
        <v>24003.9</v>
      </c>
      <c r="L203" s="41">
        <f t="shared" si="1"/>
        <v>49376136.640000008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9744414.6199999992</v>
      </c>
      <c r="G207" s="18">
        <v>3138342.37</v>
      </c>
      <c r="H207" s="18">
        <v>45121.61</v>
      </c>
      <c r="I207" s="18">
        <v>221865.49</v>
      </c>
      <c r="J207" s="18">
        <v>5937.09</v>
      </c>
      <c r="K207" s="18">
        <v>335</v>
      </c>
      <c r="L207" s="19">
        <f>SUM(F207:K207)</f>
        <v>13156016.179999998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2304064.66</v>
      </c>
      <c r="G208" s="18">
        <v>694994.53</v>
      </c>
      <c r="H208" s="18">
        <v>482457.46</v>
      </c>
      <c r="I208" s="18">
        <v>6912.55</v>
      </c>
      <c r="J208" s="18">
        <v>0</v>
      </c>
      <c r="K208" s="18">
        <v>0</v>
      </c>
      <c r="L208" s="19">
        <f>SUM(F208:K208)</f>
        <v>3488429.2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714696.13</v>
      </c>
      <c r="G209" s="18">
        <v>242149.69</v>
      </c>
      <c r="H209" s="18">
        <v>1000.03</v>
      </c>
      <c r="I209" s="18">
        <v>50823.89</v>
      </c>
      <c r="J209" s="18">
        <v>389</v>
      </c>
      <c r="K209" s="18">
        <v>0</v>
      </c>
      <c r="L209" s="19">
        <f>SUM(F209:K209)</f>
        <v>1009058.7400000001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59510.44</v>
      </c>
      <c r="G210" s="18">
        <v>20165.73</v>
      </c>
      <c r="H210" s="18">
        <v>13020</v>
      </c>
      <c r="I210" s="18">
        <v>0</v>
      </c>
      <c r="J210" s="18">
        <v>0</v>
      </c>
      <c r="K210" s="18">
        <v>1170</v>
      </c>
      <c r="L210" s="19">
        <f>SUM(F210:K210)</f>
        <v>93866.17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1695785.26</v>
      </c>
      <c r="G212" s="18">
        <v>384917.48</v>
      </c>
      <c r="H212" s="18">
        <v>170580.59</v>
      </c>
      <c r="I212" s="18">
        <v>7246.85</v>
      </c>
      <c r="J212" s="18">
        <v>0</v>
      </c>
      <c r="K212" s="18">
        <v>94.88</v>
      </c>
      <c r="L212" s="19">
        <f t="shared" ref="L212:L218" si="2">SUM(F212:K212)</f>
        <v>2258625.06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430220.55</v>
      </c>
      <c r="G213" s="18">
        <v>79170.05</v>
      </c>
      <c r="H213" s="18">
        <v>28625.58</v>
      </c>
      <c r="I213" s="18">
        <v>136246.59</v>
      </c>
      <c r="J213" s="18">
        <v>5995.3</v>
      </c>
      <c r="K213" s="18">
        <v>0</v>
      </c>
      <c r="L213" s="19">
        <f t="shared" si="2"/>
        <v>680258.07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470808.55</v>
      </c>
      <c r="G214" s="18">
        <v>19552.439999999999</v>
      </c>
      <c r="H214" s="18">
        <v>78475.399999999994</v>
      </c>
      <c r="I214" s="18">
        <v>9186.26</v>
      </c>
      <c r="J214" s="18">
        <v>4705.1400000000003</v>
      </c>
      <c r="K214" s="18">
        <v>13323.67</v>
      </c>
      <c r="L214" s="19">
        <f t="shared" si="2"/>
        <v>596051.46000000008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1095820.3600000001</v>
      </c>
      <c r="G215" s="18">
        <v>368991.33</v>
      </c>
      <c r="H215" s="18">
        <v>2199.92</v>
      </c>
      <c r="I215" s="18">
        <v>7208.15</v>
      </c>
      <c r="J215" s="18">
        <v>0</v>
      </c>
      <c r="K215" s="18">
        <v>1325</v>
      </c>
      <c r="L215" s="19">
        <f t="shared" si="2"/>
        <v>1475544.76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132269.01</v>
      </c>
      <c r="G216" s="18">
        <v>32108.36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164377.37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1113575.08</v>
      </c>
      <c r="G217" s="18">
        <v>273751.12</v>
      </c>
      <c r="H217" s="18">
        <v>687299.78</v>
      </c>
      <c r="I217" s="18">
        <v>804937.03</v>
      </c>
      <c r="J217" s="18">
        <v>13108.88</v>
      </c>
      <c r="K217" s="18"/>
      <c r="L217" s="19">
        <f t="shared" si="2"/>
        <v>2892671.89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28721.33</v>
      </c>
      <c r="G218" s="18">
        <v>9729.99</v>
      </c>
      <c r="H218" s="18">
        <v>1176576.1499999999</v>
      </c>
      <c r="I218" s="18">
        <v>0</v>
      </c>
      <c r="J218" s="18">
        <v>0</v>
      </c>
      <c r="K218" s="18">
        <v>0</v>
      </c>
      <c r="L218" s="19">
        <f t="shared" si="2"/>
        <v>1215027.47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75644.11</v>
      </c>
      <c r="G219" s="18">
        <v>6786.52</v>
      </c>
      <c r="H219" s="18">
        <v>2419.27</v>
      </c>
      <c r="I219" s="18">
        <v>0</v>
      </c>
      <c r="J219" s="18">
        <v>0</v>
      </c>
      <c r="K219" s="18">
        <v>0</v>
      </c>
      <c r="L219" s="19">
        <f>SUM(F219:K219)</f>
        <v>84849.900000000009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17865530.099999998</v>
      </c>
      <c r="G221" s="41">
        <f>SUM(G207:G220)</f>
        <v>5270659.6100000013</v>
      </c>
      <c r="H221" s="41">
        <f>SUM(H207:H220)</f>
        <v>2687775.79</v>
      </c>
      <c r="I221" s="41">
        <f>SUM(I207:I220)</f>
        <v>1244426.81</v>
      </c>
      <c r="J221" s="41">
        <f>SUM(J207:J220)</f>
        <v>30135.409999999996</v>
      </c>
      <c r="K221" s="41">
        <f t="shared" si="3"/>
        <v>16248.55</v>
      </c>
      <c r="L221" s="41">
        <f t="shared" si="3"/>
        <v>27114776.27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11206736.23</v>
      </c>
      <c r="G225" s="18">
        <v>4523694.16</v>
      </c>
      <c r="H225" s="18">
        <v>368728</v>
      </c>
      <c r="I225" s="18">
        <v>204313.85</v>
      </c>
      <c r="J225" s="18">
        <v>17383.830000000002</v>
      </c>
      <c r="K225" s="18">
        <v>781</v>
      </c>
      <c r="L225" s="19">
        <f>SUM(F225:K225)</f>
        <v>16321637.07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2337598.9</v>
      </c>
      <c r="G226" s="18">
        <v>861800.97</v>
      </c>
      <c r="H226" s="18">
        <v>2174778.4700000002</v>
      </c>
      <c r="I226" s="18">
        <v>5065.92</v>
      </c>
      <c r="J226" s="18">
        <v>0</v>
      </c>
      <c r="K226" s="18">
        <v>0</v>
      </c>
      <c r="L226" s="19">
        <f>SUM(F226:K226)</f>
        <v>5379244.2599999998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1875014.91</v>
      </c>
      <c r="G227" s="18">
        <v>805844.75</v>
      </c>
      <c r="H227" s="18">
        <v>18658.43</v>
      </c>
      <c r="I227" s="18">
        <v>56856.02</v>
      </c>
      <c r="J227" s="18">
        <v>6951.68</v>
      </c>
      <c r="K227" s="18">
        <v>1000</v>
      </c>
      <c r="L227" s="19">
        <f>SUM(F227:K227)</f>
        <v>2764325.7900000005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389906.29</v>
      </c>
      <c r="G228" s="18">
        <v>167576.59</v>
      </c>
      <c r="H228" s="18">
        <v>220074.81</v>
      </c>
      <c r="I228" s="18">
        <v>8620.1</v>
      </c>
      <c r="J228" s="18">
        <v>0</v>
      </c>
      <c r="K228" s="18">
        <v>11955</v>
      </c>
      <c r="L228" s="19">
        <f>SUM(F228:K228)</f>
        <v>798132.78999999992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2558989.23</v>
      </c>
      <c r="G230" s="18">
        <v>783548.42</v>
      </c>
      <c r="H230" s="18">
        <v>219554.19</v>
      </c>
      <c r="I230" s="18">
        <v>4697.08</v>
      </c>
      <c r="J230" s="18">
        <v>0</v>
      </c>
      <c r="K230" s="18">
        <v>122.12</v>
      </c>
      <c r="L230" s="19">
        <f t="shared" ref="L230:L236" si="4">SUM(F230:K230)</f>
        <v>3566911.04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604844.41</v>
      </c>
      <c r="G231" s="18">
        <v>140510.09</v>
      </c>
      <c r="H231" s="18">
        <v>59593.63</v>
      </c>
      <c r="I231" s="18">
        <v>191961.93</v>
      </c>
      <c r="J231" s="18">
        <v>8299.27</v>
      </c>
      <c r="K231" s="18">
        <v>0</v>
      </c>
      <c r="L231" s="19">
        <f t="shared" si="4"/>
        <v>1005209.3300000001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655460.31000000006</v>
      </c>
      <c r="G232" s="18">
        <v>30663.68</v>
      </c>
      <c r="H232" s="18">
        <v>94238.51</v>
      </c>
      <c r="I232" s="18">
        <v>12716.52</v>
      </c>
      <c r="J232" s="18">
        <v>4718.6499999999996</v>
      </c>
      <c r="K232" s="18">
        <v>18443.939999999999</v>
      </c>
      <c r="L232" s="19">
        <f t="shared" si="4"/>
        <v>816241.6100000001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1102052.2</v>
      </c>
      <c r="G233" s="18">
        <v>469534.43</v>
      </c>
      <c r="H233" s="18">
        <v>0</v>
      </c>
      <c r="I233" s="18">
        <v>0</v>
      </c>
      <c r="J233" s="18">
        <v>0</v>
      </c>
      <c r="K233" s="18">
        <v>985</v>
      </c>
      <c r="L233" s="19">
        <f t="shared" si="4"/>
        <v>1572571.63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203034.58</v>
      </c>
      <c r="G234" s="18">
        <v>63708.36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266742.94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1913113.8</v>
      </c>
      <c r="G235" s="18">
        <v>636515.78</v>
      </c>
      <c r="H235" s="18">
        <v>793112.29</v>
      </c>
      <c r="I235" s="18">
        <v>1792637.06</v>
      </c>
      <c r="J235" s="18">
        <v>18146.59</v>
      </c>
      <c r="K235" s="18">
        <v>0</v>
      </c>
      <c r="L235" s="19">
        <f t="shared" si="4"/>
        <v>5153525.5199999996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37558.78</v>
      </c>
      <c r="G236" s="18">
        <v>16149.33</v>
      </c>
      <c r="H236" s="18">
        <v>1620615.14</v>
      </c>
      <c r="I236" s="18">
        <v>0</v>
      </c>
      <c r="J236" s="18">
        <v>0</v>
      </c>
      <c r="K236" s="18">
        <v>0</v>
      </c>
      <c r="L236" s="19">
        <f t="shared" si="4"/>
        <v>1674323.25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108098.24000000001</v>
      </c>
      <c r="G237" s="18">
        <v>12682.84</v>
      </c>
      <c r="H237" s="18">
        <v>3349</v>
      </c>
      <c r="I237" s="18">
        <v>0</v>
      </c>
      <c r="J237" s="18">
        <v>0</v>
      </c>
      <c r="K237" s="18">
        <v>0</v>
      </c>
      <c r="L237" s="19">
        <f>SUM(F237:K237)</f>
        <v>124130.08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22992407.879999995</v>
      </c>
      <c r="G239" s="41">
        <f t="shared" si="5"/>
        <v>8512229.3999999985</v>
      </c>
      <c r="H239" s="41">
        <f t="shared" si="5"/>
        <v>5572702.4699999997</v>
      </c>
      <c r="I239" s="41">
        <f t="shared" si="5"/>
        <v>2276868.48</v>
      </c>
      <c r="J239" s="41">
        <f t="shared" si="5"/>
        <v>55500.020000000004</v>
      </c>
      <c r="K239" s="41">
        <f t="shared" si="5"/>
        <v>33287.06</v>
      </c>
      <c r="L239" s="41">
        <f t="shared" si="5"/>
        <v>39442995.309999987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122668.59</v>
      </c>
      <c r="G243" s="18">
        <v>3823.68</v>
      </c>
      <c r="H243" s="18"/>
      <c r="I243" s="18"/>
      <c r="J243" s="18"/>
      <c r="K243" s="18"/>
      <c r="L243" s="19">
        <f t="shared" si="6"/>
        <v>126492.26999999999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655457</v>
      </c>
      <c r="K247" s="18"/>
      <c r="L247" s="19">
        <f t="shared" si="6"/>
        <v>655457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122668.59</v>
      </c>
      <c r="G248" s="41">
        <f t="shared" si="7"/>
        <v>3823.68</v>
      </c>
      <c r="H248" s="41">
        <f t="shared" si="7"/>
        <v>0</v>
      </c>
      <c r="I248" s="41">
        <f t="shared" si="7"/>
        <v>0</v>
      </c>
      <c r="J248" s="41">
        <f t="shared" si="7"/>
        <v>655457</v>
      </c>
      <c r="K248" s="41">
        <f t="shared" si="7"/>
        <v>0</v>
      </c>
      <c r="L248" s="41">
        <f>SUM(F248:K248)</f>
        <v>781949.27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72966113.359999999</v>
      </c>
      <c r="G249" s="41">
        <f t="shared" si="8"/>
        <v>25055843.699999999</v>
      </c>
      <c r="H249" s="41">
        <f t="shared" si="8"/>
        <v>12333990.84</v>
      </c>
      <c r="I249" s="41">
        <f t="shared" si="8"/>
        <v>5473582.2200000007</v>
      </c>
      <c r="J249" s="41">
        <f t="shared" si="8"/>
        <v>812787.86</v>
      </c>
      <c r="K249" s="41">
        <f t="shared" si="8"/>
        <v>73539.509999999995</v>
      </c>
      <c r="L249" s="41">
        <f t="shared" si="8"/>
        <v>116715857.48999999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9769813</v>
      </c>
      <c r="L252" s="19">
        <f>SUM(F252:K252)</f>
        <v>9769813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4614260</v>
      </c>
      <c r="L253" s="19">
        <f>SUM(F253:K253)</f>
        <v>4614260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950000</v>
      </c>
      <c r="L258" s="19">
        <f t="shared" si="9"/>
        <v>950000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15334073</v>
      </c>
      <c r="L262" s="41">
        <f t="shared" si="9"/>
        <v>15334073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72966113.359999999</v>
      </c>
      <c r="G263" s="42">
        <f t="shared" si="11"/>
        <v>25055843.699999999</v>
      </c>
      <c r="H263" s="42">
        <f t="shared" si="11"/>
        <v>12333990.84</v>
      </c>
      <c r="I263" s="42">
        <f t="shared" si="11"/>
        <v>5473582.2200000007</v>
      </c>
      <c r="J263" s="42">
        <f t="shared" si="11"/>
        <v>812787.86</v>
      </c>
      <c r="K263" s="42">
        <f t="shared" si="11"/>
        <v>15407612.51</v>
      </c>
      <c r="L263" s="42">
        <f t="shared" si="11"/>
        <v>132049930.48999999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691698.81</v>
      </c>
      <c r="G268" s="18">
        <v>137580.26</v>
      </c>
      <c r="H268" s="18"/>
      <c r="I268" s="18">
        <v>13528.4</v>
      </c>
      <c r="J268" s="18"/>
      <c r="K268" s="18"/>
      <c r="L268" s="19">
        <f>SUM(F268:K268)</f>
        <v>842807.47000000009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4149221.4</v>
      </c>
      <c r="G269" s="18">
        <v>825273.04</v>
      </c>
      <c r="H269" s="18">
        <v>841092.21</v>
      </c>
      <c r="I269" s="18">
        <v>210848.04</v>
      </c>
      <c r="J269" s="18">
        <v>215905.47</v>
      </c>
      <c r="K269" s="18"/>
      <c r="L269" s="19">
        <f>SUM(F269:K269)</f>
        <v>6242340.1599999992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558278.16</v>
      </c>
      <c r="G271" s="18">
        <v>111932.86</v>
      </c>
      <c r="H271" s="18">
        <v>22436.080000000002</v>
      </c>
      <c r="I271" s="18">
        <v>53372.92</v>
      </c>
      <c r="J271" s="18">
        <v>112.48</v>
      </c>
      <c r="K271" s="18"/>
      <c r="L271" s="19">
        <f>SUM(F271:K271)</f>
        <v>746132.5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29881.21</v>
      </c>
      <c r="G273" s="18">
        <v>5943.51</v>
      </c>
      <c r="H273" s="18">
        <v>173585.31</v>
      </c>
      <c r="I273" s="18">
        <v>4368.84</v>
      </c>
      <c r="J273" s="18"/>
      <c r="K273" s="18"/>
      <c r="L273" s="19">
        <f t="shared" ref="L273:L279" si="12">SUM(F273:K273)</f>
        <v>213778.87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240521.41</v>
      </c>
      <c r="G274" s="18">
        <v>47838.61</v>
      </c>
      <c r="H274" s="18">
        <v>313217.87</v>
      </c>
      <c r="I274" s="18">
        <v>64656.160000000003</v>
      </c>
      <c r="J274" s="18">
        <v>76959.320000000007</v>
      </c>
      <c r="K274" s="18"/>
      <c r="L274" s="19">
        <f t="shared" si="12"/>
        <v>743193.37000000011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3626.3</v>
      </c>
      <c r="I275" s="18"/>
      <c r="J275" s="18"/>
      <c r="K275" s="18"/>
      <c r="L275" s="19">
        <f t="shared" si="12"/>
        <v>3626.3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129283.38</v>
      </c>
      <c r="L277" s="19">
        <f t="shared" si="12"/>
        <v>129283.38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18114.330000000002</v>
      </c>
      <c r="G278" s="18">
        <v>3603.47</v>
      </c>
      <c r="H278" s="18"/>
      <c r="I278" s="18">
        <v>249.38</v>
      </c>
      <c r="J278" s="18"/>
      <c r="K278" s="18">
        <v>96860.66</v>
      </c>
      <c r="L278" s="19">
        <f t="shared" si="12"/>
        <v>118827.84000000001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23498.35</v>
      </c>
      <c r="I279" s="18"/>
      <c r="J279" s="18"/>
      <c r="K279" s="18"/>
      <c r="L279" s="19">
        <f t="shared" si="12"/>
        <v>23498.35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18069.39</v>
      </c>
      <c r="I280" s="18">
        <v>1721.2</v>
      </c>
      <c r="J280" s="18"/>
      <c r="K280" s="18"/>
      <c r="L280" s="19">
        <f>SUM(F280:K280)</f>
        <v>19790.59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5687715.3200000003</v>
      </c>
      <c r="G282" s="42">
        <f t="shared" si="13"/>
        <v>1132171.7500000002</v>
      </c>
      <c r="H282" s="42">
        <f t="shared" si="13"/>
        <v>1395525.5099999998</v>
      </c>
      <c r="I282" s="42">
        <f t="shared" si="13"/>
        <v>348744.94</v>
      </c>
      <c r="J282" s="42">
        <f t="shared" si="13"/>
        <v>292977.27</v>
      </c>
      <c r="K282" s="42">
        <f t="shared" si="13"/>
        <v>226144.04</v>
      </c>
      <c r="L282" s="41">
        <f t="shared" si="13"/>
        <v>9083278.8300000001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v>888.76</v>
      </c>
      <c r="I287" s="18">
        <v>3655.04</v>
      </c>
      <c r="J287" s="18"/>
      <c r="K287" s="18"/>
      <c r="L287" s="19">
        <f>SUM(F287:K287)</f>
        <v>4543.8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640900.12</v>
      </c>
      <c r="G288" s="18">
        <v>169825.9</v>
      </c>
      <c r="H288" s="18">
        <v>31242.240000000002</v>
      </c>
      <c r="I288" s="18">
        <v>7947.18</v>
      </c>
      <c r="J288" s="18">
        <v>2806.79</v>
      </c>
      <c r="K288" s="18"/>
      <c r="L288" s="19">
        <f>SUM(F288:K288)</f>
        <v>852722.2300000001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201936.49</v>
      </c>
      <c r="G290" s="18">
        <v>52919.02</v>
      </c>
      <c r="H290" s="18">
        <v>15611.31</v>
      </c>
      <c r="I290" s="18">
        <v>21092.2</v>
      </c>
      <c r="J290" s="18">
        <v>52.49</v>
      </c>
      <c r="K290" s="18"/>
      <c r="L290" s="19">
        <f>SUM(F290:K290)</f>
        <v>291611.51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25639.08</v>
      </c>
      <c r="G292" s="18">
        <v>6793.92</v>
      </c>
      <c r="H292" s="18">
        <v>81006.5</v>
      </c>
      <c r="I292" s="18">
        <v>1739.41</v>
      </c>
      <c r="J292" s="18"/>
      <c r="K292" s="18"/>
      <c r="L292" s="19">
        <f t="shared" ref="L292:L298" si="14">SUM(F292:K292)</f>
        <v>115178.91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65457.02</v>
      </c>
      <c r="G293" s="18">
        <v>17344.98</v>
      </c>
      <c r="H293" s="18">
        <v>100706.26</v>
      </c>
      <c r="I293" s="18">
        <v>7733.68</v>
      </c>
      <c r="J293" s="18"/>
      <c r="K293" s="18"/>
      <c r="L293" s="19">
        <f t="shared" si="14"/>
        <v>191241.94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1225.6099999999999</v>
      </c>
      <c r="I294" s="18"/>
      <c r="J294" s="18"/>
      <c r="K294" s="18"/>
      <c r="L294" s="19">
        <f t="shared" si="14"/>
        <v>1225.6099999999999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43374.400000000001</v>
      </c>
      <c r="L296" s="19">
        <f t="shared" si="14"/>
        <v>43374.400000000001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8453.36</v>
      </c>
      <c r="G297" s="18">
        <v>2240.1</v>
      </c>
      <c r="H297" s="18"/>
      <c r="I297" s="18"/>
      <c r="J297" s="18"/>
      <c r="K297" s="18">
        <v>45201.64</v>
      </c>
      <c r="L297" s="19">
        <f t="shared" si="14"/>
        <v>55895.1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15273.93</v>
      </c>
      <c r="I298" s="18"/>
      <c r="J298" s="18"/>
      <c r="K298" s="18"/>
      <c r="L298" s="19">
        <f t="shared" si="14"/>
        <v>15273.93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942386.07</v>
      </c>
      <c r="G301" s="42">
        <f t="shared" si="15"/>
        <v>249123.92</v>
      </c>
      <c r="H301" s="42">
        <f t="shared" si="15"/>
        <v>245954.61</v>
      </c>
      <c r="I301" s="42">
        <f t="shared" si="15"/>
        <v>42167.51</v>
      </c>
      <c r="J301" s="42">
        <f t="shared" si="15"/>
        <v>2859.2799999999997</v>
      </c>
      <c r="K301" s="42">
        <f t="shared" si="15"/>
        <v>88576.040000000008</v>
      </c>
      <c r="L301" s="41">
        <f t="shared" si="15"/>
        <v>1571067.43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950</v>
      </c>
      <c r="G306" s="18">
        <v>192.59</v>
      </c>
      <c r="H306" s="18">
        <v>525</v>
      </c>
      <c r="I306" s="18">
        <v>6043.39</v>
      </c>
      <c r="J306" s="18">
        <v>20817.57</v>
      </c>
      <c r="K306" s="18"/>
      <c r="L306" s="19">
        <f>SUM(F306:K306)</f>
        <v>28528.55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752376.54</v>
      </c>
      <c r="G307" s="18">
        <v>152442.1</v>
      </c>
      <c r="H307" s="18">
        <v>50582.7</v>
      </c>
      <c r="I307" s="18">
        <v>12866.83</v>
      </c>
      <c r="J307" s="18">
        <v>4544.32</v>
      </c>
      <c r="K307" s="18"/>
      <c r="L307" s="19">
        <f>SUM(F307:K307)</f>
        <v>972812.48999999987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375278.62</v>
      </c>
      <c r="G308" s="18">
        <v>76036.639999999999</v>
      </c>
      <c r="H308" s="18">
        <v>650</v>
      </c>
      <c r="I308" s="18">
        <v>155200.98000000001</v>
      </c>
      <c r="J308" s="18">
        <v>68760.7</v>
      </c>
      <c r="K308" s="18"/>
      <c r="L308" s="19">
        <f>SUM(F308:K308)</f>
        <v>675926.94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317893.64</v>
      </c>
      <c r="G309" s="18">
        <v>64359.65</v>
      </c>
      <c r="H309" s="18">
        <v>8217.5400000000009</v>
      </c>
      <c r="I309" s="18">
        <v>13000.89</v>
      </c>
      <c r="J309" s="18">
        <v>20385.759999999998</v>
      </c>
      <c r="K309" s="18"/>
      <c r="L309" s="19">
        <f>SUM(F309:K309)</f>
        <v>423857.48000000004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225.12</v>
      </c>
      <c r="G311" s="18">
        <v>45.55</v>
      </c>
      <c r="H311" s="18">
        <v>131153.34</v>
      </c>
      <c r="I311" s="18">
        <v>2816.18</v>
      </c>
      <c r="J311" s="18"/>
      <c r="K311" s="18"/>
      <c r="L311" s="19">
        <f t="shared" ref="L311:L317" si="16">SUM(F311:K311)</f>
        <v>134240.19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485063.55</v>
      </c>
      <c r="G312" s="18">
        <v>98280.34</v>
      </c>
      <c r="H312" s="18">
        <v>302494.57</v>
      </c>
      <c r="I312" s="18">
        <v>20224.11</v>
      </c>
      <c r="J312" s="18"/>
      <c r="K312" s="18">
        <v>10608.03</v>
      </c>
      <c r="L312" s="19">
        <f t="shared" si="16"/>
        <v>916670.6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1984.31</v>
      </c>
      <c r="I313" s="18"/>
      <c r="J313" s="18"/>
      <c r="K313" s="18"/>
      <c r="L313" s="19">
        <f t="shared" si="16"/>
        <v>1984.31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73597.8</v>
      </c>
      <c r="L315" s="19">
        <f t="shared" si="16"/>
        <v>73597.8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13686.39</v>
      </c>
      <c r="G316" s="18">
        <v>2773.02</v>
      </c>
      <c r="H316" s="18"/>
      <c r="I316" s="18"/>
      <c r="J316" s="18"/>
      <c r="K316" s="18">
        <v>73183.62</v>
      </c>
      <c r="L316" s="19">
        <f t="shared" si="16"/>
        <v>89643.03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19973.66</v>
      </c>
      <c r="I317" s="18"/>
      <c r="J317" s="18"/>
      <c r="K317" s="18"/>
      <c r="L317" s="19">
        <f t="shared" si="16"/>
        <v>19973.66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1945473.8600000003</v>
      </c>
      <c r="G320" s="42">
        <f t="shared" si="17"/>
        <v>394129.89</v>
      </c>
      <c r="H320" s="42">
        <f t="shared" si="17"/>
        <v>515581.12</v>
      </c>
      <c r="I320" s="42">
        <f t="shared" si="17"/>
        <v>210152.38</v>
      </c>
      <c r="J320" s="42">
        <f t="shared" si="17"/>
        <v>114508.34999999999</v>
      </c>
      <c r="K320" s="42">
        <f t="shared" si="17"/>
        <v>157389.45000000001</v>
      </c>
      <c r="L320" s="41">
        <f t="shared" si="17"/>
        <v>3337235.05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18128.189999999999</v>
      </c>
      <c r="I324" s="18">
        <v>1768</v>
      </c>
      <c r="J324" s="18"/>
      <c r="K324" s="18"/>
      <c r="L324" s="19">
        <f t="shared" ref="L324:L329" si="18">SUM(F324:K324)</f>
        <v>19896.189999999999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152107.6</v>
      </c>
      <c r="G325" s="18">
        <v>13000.06</v>
      </c>
      <c r="H325" s="18">
        <v>10308.540000000001</v>
      </c>
      <c r="I325" s="18">
        <v>15377.05</v>
      </c>
      <c r="J325" s="18">
        <v>796.44</v>
      </c>
      <c r="K325" s="18"/>
      <c r="L325" s="19">
        <f t="shared" si="18"/>
        <v>191589.69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152107.6</v>
      </c>
      <c r="G329" s="41">
        <f t="shared" si="19"/>
        <v>13000.06</v>
      </c>
      <c r="H329" s="41">
        <f t="shared" si="19"/>
        <v>28436.73</v>
      </c>
      <c r="I329" s="41">
        <f t="shared" si="19"/>
        <v>17145.05</v>
      </c>
      <c r="J329" s="41">
        <f t="shared" si="19"/>
        <v>796.44</v>
      </c>
      <c r="K329" s="41">
        <f t="shared" si="19"/>
        <v>0</v>
      </c>
      <c r="L329" s="41">
        <f t="shared" si="18"/>
        <v>211485.88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8727682.8499999996</v>
      </c>
      <c r="G330" s="41">
        <f t="shared" si="20"/>
        <v>1788425.62</v>
      </c>
      <c r="H330" s="41">
        <f t="shared" si="20"/>
        <v>2185497.9699999997</v>
      </c>
      <c r="I330" s="41">
        <f t="shared" si="20"/>
        <v>618209.88000000012</v>
      </c>
      <c r="J330" s="41">
        <f t="shared" si="20"/>
        <v>411141.34</v>
      </c>
      <c r="K330" s="41">
        <f t="shared" si="20"/>
        <v>472109.53</v>
      </c>
      <c r="L330" s="41">
        <f t="shared" si="20"/>
        <v>14203067.189999999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8727682.8499999996</v>
      </c>
      <c r="G344" s="41">
        <f>G330</f>
        <v>1788425.62</v>
      </c>
      <c r="H344" s="41">
        <f>H330</f>
        <v>2185497.9699999997</v>
      </c>
      <c r="I344" s="41">
        <f>I330</f>
        <v>618209.88000000012</v>
      </c>
      <c r="J344" s="41">
        <f>J330</f>
        <v>411141.34</v>
      </c>
      <c r="K344" s="47">
        <f>K330+K343</f>
        <v>472109.53</v>
      </c>
      <c r="L344" s="41">
        <f>L330+L343</f>
        <v>14203067.189999999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735525.66</v>
      </c>
      <c r="G350" s="18">
        <v>272075.17</v>
      </c>
      <c r="H350" s="18">
        <v>22507.77</v>
      </c>
      <c r="I350" s="18">
        <v>853003.52</v>
      </c>
      <c r="J350" s="18">
        <v>43339.1</v>
      </c>
      <c r="K350" s="18"/>
      <c r="L350" s="13">
        <f>SUM(F350:K350)</f>
        <v>1926451.2200000002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474673.76</v>
      </c>
      <c r="G351" s="18">
        <v>129224.03</v>
      </c>
      <c r="H351" s="18">
        <v>10447.02</v>
      </c>
      <c r="I351" s="18">
        <v>550264.68999999994</v>
      </c>
      <c r="J351" s="18">
        <v>12147.36</v>
      </c>
      <c r="K351" s="18"/>
      <c r="L351" s="19">
        <f>SUM(F351:K351)</f>
        <v>1176756.8600000001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602186.43000000005</v>
      </c>
      <c r="G352" s="18">
        <v>134308.60999999999</v>
      </c>
      <c r="H352" s="18">
        <v>15591.32</v>
      </c>
      <c r="I352" s="18">
        <v>883538.2</v>
      </c>
      <c r="J352" s="18">
        <v>27889.09</v>
      </c>
      <c r="K352" s="18"/>
      <c r="L352" s="19">
        <f>SUM(F352:K352)</f>
        <v>1663513.6500000001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1812385.85</v>
      </c>
      <c r="G354" s="47">
        <f t="shared" si="22"/>
        <v>535607.80999999994</v>
      </c>
      <c r="H354" s="47">
        <f t="shared" si="22"/>
        <v>48546.11</v>
      </c>
      <c r="I354" s="47">
        <f t="shared" si="22"/>
        <v>2286806.41</v>
      </c>
      <c r="J354" s="47">
        <f t="shared" si="22"/>
        <v>83375.55</v>
      </c>
      <c r="K354" s="47">
        <f t="shared" si="22"/>
        <v>0</v>
      </c>
      <c r="L354" s="47">
        <f t="shared" si="22"/>
        <v>4766721.7300000004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779464.32</v>
      </c>
      <c r="G359" s="18">
        <v>504008.53</v>
      </c>
      <c r="H359" s="18">
        <v>813269.88</v>
      </c>
      <c r="I359" s="56">
        <f>SUM(F359:H359)</f>
        <v>2096742.73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73539.199999999997</v>
      </c>
      <c r="G360" s="63">
        <v>46256.160000000003</v>
      </c>
      <c r="H360" s="63">
        <v>70268.320000000007</v>
      </c>
      <c r="I360" s="56">
        <f>SUM(F360:H360)</f>
        <v>190063.68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853003.5199999999</v>
      </c>
      <c r="G361" s="47">
        <f>SUM(G359:G360)</f>
        <v>550264.69000000006</v>
      </c>
      <c r="H361" s="47">
        <f>SUM(H359:H360)</f>
        <v>883538.2</v>
      </c>
      <c r="I361" s="47">
        <f>SUM(I359:I360)</f>
        <v>2286806.41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>
        <v>10387.25</v>
      </c>
      <c r="L368" s="13">
        <f t="shared" si="23"/>
        <v>10387.25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412500</v>
      </c>
      <c r="L373" s="13">
        <f t="shared" si="23"/>
        <v>412500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422887.25</v>
      </c>
      <c r="L374" s="47">
        <f t="shared" si="24"/>
        <v>422887.25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19917.23</v>
      </c>
      <c r="I380" s="18"/>
      <c r="J380" s="24" t="s">
        <v>312</v>
      </c>
      <c r="K380" s="24" t="s">
        <v>312</v>
      </c>
      <c r="L380" s="56">
        <f t="shared" si="25"/>
        <v>19917.23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1254.1099999999999</v>
      </c>
      <c r="I381" s="18"/>
      <c r="J381" s="24" t="s">
        <v>312</v>
      </c>
      <c r="K381" s="24" t="s">
        <v>312</v>
      </c>
      <c r="L381" s="56">
        <f t="shared" si="25"/>
        <v>1254.1099999999999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201.77</v>
      </c>
      <c r="I383" s="18">
        <v>17369.57</v>
      </c>
      <c r="J383" s="24" t="s">
        <v>312</v>
      </c>
      <c r="K383" s="24" t="s">
        <v>312</v>
      </c>
      <c r="L383" s="56">
        <f t="shared" si="25"/>
        <v>17571.34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21373.11</v>
      </c>
      <c r="I385" s="65">
        <f>SUM(I379:I384)</f>
        <v>17369.57</v>
      </c>
      <c r="J385" s="45" t="s">
        <v>312</v>
      </c>
      <c r="K385" s="45" t="s">
        <v>312</v>
      </c>
      <c r="L385" s="47">
        <f>SUM(L379:L384)</f>
        <v>38742.68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161.93</v>
      </c>
      <c r="I388" s="18"/>
      <c r="J388" s="24" t="s">
        <v>312</v>
      </c>
      <c r="K388" s="24" t="s">
        <v>312</v>
      </c>
      <c r="L388" s="56">
        <f t="shared" si="26"/>
        <v>161.93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150000</v>
      </c>
      <c r="H389" s="18">
        <v>2931.98</v>
      </c>
      <c r="I389" s="18"/>
      <c r="J389" s="24" t="s">
        <v>312</v>
      </c>
      <c r="K389" s="24" t="s">
        <v>312</v>
      </c>
      <c r="L389" s="56">
        <f t="shared" si="26"/>
        <v>152931.98000000001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17.22</v>
      </c>
      <c r="I391" s="18"/>
      <c r="J391" s="24" t="s">
        <v>312</v>
      </c>
      <c r="K391" s="24" t="s">
        <v>312</v>
      </c>
      <c r="L391" s="56">
        <f t="shared" si="26"/>
        <v>17.22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800000</v>
      </c>
      <c r="H392" s="18">
        <v>42636.23</v>
      </c>
      <c r="I392" s="18">
        <v>165420.06</v>
      </c>
      <c r="J392" s="24" t="s">
        <v>312</v>
      </c>
      <c r="K392" s="24" t="s">
        <v>312</v>
      </c>
      <c r="L392" s="56">
        <f t="shared" si="26"/>
        <v>1008056.29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950000</v>
      </c>
      <c r="H393" s="47">
        <f>SUM(H387:H392)</f>
        <v>45747.360000000001</v>
      </c>
      <c r="I393" s="47">
        <f>SUM(I387:I392)</f>
        <v>165420.06</v>
      </c>
      <c r="J393" s="45" t="s">
        <v>312</v>
      </c>
      <c r="K393" s="45" t="s">
        <v>312</v>
      </c>
      <c r="L393" s="47">
        <f>SUM(L387:L392)</f>
        <v>1161167.42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905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346077.93</v>
      </c>
      <c r="I395" s="18">
        <v>5800.15</v>
      </c>
      <c r="J395" s="24" t="s">
        <v>312</v>
      </c>
      <c r="K395" s="24" t="s">
        <v>312</v>
      </c>
      <c r="L395" s="56">
        <f>SUM(F395:K395)</f>
        <v>351878.08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346077.93</v>
      </c>
      <c r="I399" s="47">
        <f>SUM(I395:I398)</f>
        <v>5800.15</v>
      </c>
      <c r="J399" s="49" t="s">
        <v>312</v>
      </c>
      <c r="K399" s="49" t="s">
        <v>312</v>
      </c>
      <c r="L399" s="47">
        <f>SUM(L395:L398)</f>
        <v>351878.08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950000</v>
      </c>
      <c r="H400" s="47">
        <f>H385+H393+H399</f>
        <v>413198.4</v>
      </c>
      <c r="I400" s="47">
        <f>I385+I393+I399</f>
        <v>188589.78</v>
      </c>
      <c r="J400" s="24" t="s">
        <v>312</v>
      </c>
      <c r="K400" s="24" t="s">
        <v>312</v>
      </c>
      <c r="L400" s="47">
        <f>L385+L393+L399</f>
        <v>1551788.18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>
        <v>995.34</v>
      </c>
      <c r="J410" s="18"/>
      <c r="K410" s="18"/>
      <c r="L410" s="56">
        <f t="shared" si="27"/>
        <v>995.34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995.34</v>
      </c>
      <c r="J411" s="139">
        <f t="shared" si="28"/>
        <v>0</v>
      </c>
      <c r="K411" s="139">
        <f t="shared" si="28"/>
        <v>0</v>
      </c>
      <c r="L411" s="47">
        <f t="shared" si="28"/>
        <v>995.34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450</v>
      </c>
      <c r="G418" s="18"/>
      <c r="H418" s="18">
        <v>11160.32</v>
      </c>
      <c r="I418" s="18">
        <v>14781.55</v>
      </c>
      <c r="J418" s="18">
        <v>15483.11</v>
      </c>
      <c r="K418" s="18">
        <v>1465000</v>
      </c>
      <c r="L418" s="56">
        <f t="shared" si="29"/>
        <v>1506874.98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450</v>
      </c>
      <c r="G419" s="47">
        <f t="shared" si="30"/>
        <v>0</v>
      </c>
      <c r="H419" s="47">
        <f t="shared" si="30"/>
        <v>11160.32</v>
      </c>
      <c r="I419" s="47">
        <f t="shared" si="30"/>
        <v>14781.55</v>
      </c>
      <c r="J419" s="47">
        <f t="shared" si="30"/>
        <v>15483.11</v>
      </c>
      <c r="K419" s="47">
        <f t="shared" si="30"/>
        <v>1465000</v>
      </c>
      <c r="L419" s="47">
        <f t="shared" si="30"/>
        <v>1506874.98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905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26021.57</v>
      </c>
      <c r="I421" s="18"/>
      <c r="J421" s="18"/>
      <c r="K421" s="18"/>
      <c r="L421" s="56">
        <f>SUM(F421:K421)</f>
        <v>26021.57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26021.57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26021.57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450</v>
      </c>
      <c r="G426" s="47">
        <f t="shared" si="32"/>
        <v>0</v>
      </c>
      <c r="H426" s="47">
        <f t="shared" si="32"/>
        <v>37181.89</v>
      </c>
      <c r="I426" s="47">
        <f t="shared" si="32"/>
        <v>15776.89</v>
      </c>
      <c r="J426" s="47">
        <f t="shared" si="32"/>
        <v>15483.11</v>
      </c>
      <c r="K426" s="47">
        <f t="shared" si="32"/>
        <v>1465000</v>
      </c>
      <c r="L426" s="47">
        <f t="shared" si="32"/>
        <v>1533891.8900000001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5000060.3600000003</v>
      </c>
      <c r="G431" s="18">
        <v>395775.14</v>
      </c>
      <c r="H431" s="18">
        <v>229797.36</v>
      </c>
      <c r="I431" s="56">
        <f t="shared" ref="I431:I437" si="33">SUM(F431:H431)</f>
        <v>5625632.8600000003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254821.93</v>
      </c>
      <c r="H432" s="18">
        <v>3540680.43</v>
      </c>
      <c r="I432" s="56">
        <f t="shared" si="33"/>
        <v>3795502.3600000003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5265.99</v>
      </c>
      <c r="G433" s="18">
        <v>20387.919999999998</v>
      </c>
      <c r="H433" s="18">
        <v>282.10000000000002</v>
      </c>
      <c r="I433" s="56">
        <f t="shared" si="33"/>
        <v>25936.009999999995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1290.8</v>
      </c>
      <c r="G435" s="18">
        <v>711</v>
      </c>
      <c r="H435" s="18"/>
      <c r="I435" s="56">
        <f t="shared" si="33"/>
        <v>2001.8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5006617.1500000004</v>
      </c>
      <c r="G438" s="13">
        <f>SUM(G431:G437)</f>
        <v>671695.99000000011</v>
      </c>
      <c r="H438" s="13">
        <f>SUM(H431:H437)</f>
        <v>3770759.89</v>
      </c>
      <c r="I438" s="13">
        <f>SUM(I431:I437)</f>
        <v>9449073.0300000012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605</v>
      </c>
      <c r="H440" s="18"/>
      <c r="I440" s="56">
        <f>SUM(F440:H440)</f>
        <v>605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605</v>
      </c>
      <c r="H444" s="72">
        <f>SUM(H440:H443)</f>
        <v>0</v>
      </c>
      <c r="I444" s="72">
        <f>SUM(I440:I443)</f>
        <v>605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5006617.1500000004</v>
      </c>
      <c r="G449" s="18">
        <v>671090.99</v>
      </c>
      <c r="H449" s="18">
        <v>3770759.89</v>
      </c>
      <c r="I449" s="56">
        <f>SUM(F449:H449)</f>
        <v>9448468.0300000012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5006617.1500000004</v>
      </c>
      <c r="G450" s="83">
        <f>SUM(G446:G449)</f>
        <v>671090.99</v>
      </c>
      <c r="H450" s="83">
        <f>SUM(H446:H449)</f>
        <v>3770759.89</v>
      </c>
      <c r="I450" s="83">
        <f>SUM(I446:I449)</f>
        <v>9448468.0300000012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5006617.1500000004</v>
      </c>
      <c r="G451" s="42">
        <f>G444+G450</f>
        <v>671695.99</v>
      </c>
      <c r="H451" s="42">
        <f>H444+H450</f>
        <v>3770759.89</v>
      </c>
      <c r="I451" s="42">
        <f>I444+I450</f>
        <v>9449073.0300000012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/>
      <c r="G455" s="18">
        <v>274261.92</v>
      </c>
      <c r="H455" s="18">
        <v>1660609.55</v>
      </c>
      <c r="I455" s="18">
        <v>2950592.77</v>
      </c>
      <c r="J455" s="18">
        <v>9430571.7400000002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132049930.48</v>
      </c>
      <c r="G458" s="18">
        <v>4916362.8499999996</v>
      </c>
      <c r="H458" s="18">
        <v>13987344.140000001</v>
      </c>
      <c r="I458" s="18"/>
      <c r="J458" s="18">
        <v>1551788.18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0.01</v>
      </c>
      <c r="G459" s="18">
        <f>225726.02</f>
        <v>225726.02</v>
      </c>
      <c r="H459" s="18">
        <f>25800+1100+247643.75+8079.79</f>
        <v>282623.53999999998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132049930.49000001</v>
      </c>
      <c r="G460" s="53">
        <f>SUM(G458:G459)</f>
        <v>5142088.8699999992</v>
      </c>
      <c r="H460" s="53">
        <f>SUM(H458:H459)</f>
        <v>14269967.68</v>
      </c>
      <c r="I460" s="53">
        <f>SUM(I458:I459)</f>
        <v>0</v>
      </c>
      <c r="J460" s="53">
        <f>SUM(J458:J459)</f>
        <v>1551788.18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132049930.48999999</v>
      </c>
      <c r="G462" s="18">
        <v>4766721.7300000004</v>
      </c>
      <c r="H462" s="18">
        <v>14203067.189999999</v>
      </c>
      <c r="I462" s="18">
        <v>422887.25</v>
      </c>
      <c r="J462" s="18">
        <v>1533891.89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f>247643.75+8079.8</f>
        <v>255723.55</v>
      </c>
      <c r="H463" s="18">
        <f>225726.02</f>
        <v>225726.02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132049930.48999999</v>
      </c>
      <c r="G464" s="53">
        <f>SUM(G462:G463)</f>
        <v>5022445.28</v>
      </c>
      <c r="H464" s="53">
        <f>SUM(H462:H463)</f>
        <v>14428793.209999999</v>
      </c>
      <c r="I464" s="53">
        <f>SUM(I462:I463)</f>
        <v>422887.25</v>
      </c>
      <c r="J464" s="53">
        <f>SUM(J462:J463)</f>
        <v>1533891.89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393905.50999999885</v>
      </c>
      <c r="H466" s="53">
        <f>(H455+H460)- H464</f>
        <v>1501784.0200000014</v>
      </c>
      <c r="I466" s="53">
        <f>(I455+I460)- I464</f>
        <v>2527705.52</v>
      </c>
      <c r="J466" s="53">
        <f>(J455+J460)- J464</f>
        <v>9448468.0299999993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914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915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 t="s">
        <v>916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110365584</v>
      </c>
      <c r="G485" s="18"/>
      <c r="H485" s="18"/>
      <c r="I485" s="18"/>
      <c r="J485" s="18"/>
      <c r="K485" s="53">
        <f>SUM(F485:J485)</f>
        <v>110365584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9769813</v>
      </c>
      <c r="G487" s="18"/>
      <c r="H487" s="18"/>
      <c r="I487" s="18"/>
      <c r="J487" s="18"/>
      <c r="K487" s="53">
        <f t="shared" si="34"/>
        <v>9769813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100595771</v>
      </c>
      <c r="G488" s="205"/>
      <c r="H488" s="205"/>
      <c r="I488" s="205"/>
      <c r="J488" s="205"/>
      <c r="K488" s="206">
        <f t="shared" si="34"/>
        <v>100595771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26209179</v>
      </c>
      <c r="G489" s="18"/>
      <c r="H489" s="18"/>
      <c r="I489" s="18"/>
      <c r="J489" s="18"/>
      <c r="K489" s="53">
        <f t="shared" si="34"/>
        <v>26209179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126804950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126804950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9530777</v>
      </c>
      <c r="G491" s="205"/>
      <c r="H491" s="205"/>
      <c r="I491" s="205"/>
      <c r="J491" s="205"/>
      <c r="K491" s="206">
        <f t="shared" si="34"/>
        <v>9530777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4198738</v>
      </c>
      <c r="G492" s="18"/>
      <c r="H492" s="18"/>
      <c r="I492" s="18"/>
      <c r="J492" s="18"/>
      <c r="K492" s="53">
        <f t="shared" si="34"/>
        <v>4198738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13729515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13729515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10519186.24</v>
      </c>
      <c r="G497" s="144"/>
      <c r="H497" s="144">
        <v>622847.54</v>
      </c>
      <c r="I497" s="144">
        <v>9896338.6999999993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7235895.9299999997</v>
      </c>
      <c r="G511" s="18">
        <v>1972505.23</v>
      </c>
      <c r="H511" s="18">
        <v>741889.14</v>
      </c>
      <c r="I511" s="18">
        <v>34900.68</v>
      </c>
      <c r="J511" s="18">
        <v>8222.43</v>
      </c>
      <c r="K511" s="18"/>
      <c r="L511" s="88">
        <f>SUM(F511:K511)</f>
        <v>9993413.4100000001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2594815.59</v>
      </c>
      <c r="G512" s="18">
        <v>709941.55</v>
      </c>
      <c r="H512" s="18">
        <v>502529.58</v>
      </c>
      <c r="I512" s="18">
        <v>12130.02</v>
      </c>
      <c r="J512" s="18">
        <v>2285.88</v>
      </c>
      <c r="K512" s="18"/>
      <c r="L512" s="88">
        <f>SUM(F512:K512)</f>
        <v>3821702.6199999996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2593290.4900000002</v>
      </c>
      <c r="G513" s="18">
        <v>711858.24</v>
      </c>
      <c r="H513" s="18">
        <v>2259224.2799999998</v>
      </c>
      <c r="I513" s="18">
        <v>12519.46</v>
      </c>
      <c r="J513" s="18">
        <v>2857.36</v>
      </c>
      <c r="K513" s="18"/>
      <c r="L513" s="88">
        <f>SUM(F513:K513)</f>
        <v>5579749.8300000001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12424002.01</v>
      </c>
      <c r="G514" s="108">
        <f t="shared" ref="G514:L514" si="35">SUM(G511:G513)</f>
        <v>3394305.0200000005</v>
      </c>
      <c r="H514" s="108">
        <f t="shared" si="35"/>
        <v>3503643</v>
      </c>
      <c r="I514" s="108">
        <f t="shared" si="35"/>
        <v>59550.159999999996</v>
      </c>
      <c r="J514" s="108">
        <f t="shared" si="35"/>
        <v>13365.670000000002</v>
      </c>
      <c r="K514" s="108">
        <f t="shared" si="35"/>
        <v>0</v>
      </c>
      <c r="L514" s="89">
        <f t="shared" si="35"/>
        <v>19394865.859999999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1194845.28</v>
      </c>
      <c r="G516" s="18">
        <v>325714.82</v>
      </c>
      <c r="H516" s="18">
        <v>129900.9</v>
      </c>
      <c r="I516" s="18">
        <v>6912.95</v>
      </c>
      <c r="J516" s="18"/>
      <c r="K516" s="18">
        <v>184</v>
      </c>
      <c r="L516" s="88">
        <f>SUM(F516:K516)</f>
        <v>1657557.95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633462.88</v>
      </c>
      <c r="G517" s="18">
        <v>173315.44</v>
      </c>
      <c r="H517" s="18">
        <v>67774.36</v>
      </c>
      <c r="I517" s="18">
        <v>2788.84</v>
      </c>
      <c r="J517" s="18"/>
      <c r="K517" s="18">
        <v>96</v>
      </c>
      <c r="L517" s="88">
        <f>SUM(F517:K517)</f>
        <v>877437.52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759953.26</v>
      </c>
      <c r="G518" s="18">
        <v>208607.17</v>
      </c>
      <c r="H518" s="18">
        <v>84717.94</v>
      </c>
      <c r="I518" s="18">
        <v>3486.07</v>
      </c>
      <c r="J518" s="18"/>
      <c r="K518" s="18">
        <v>120</v>
      </c>
      <c r="L518" s="88">
        <f>SUM(F518:K518)</f>
        <v>1056884.4400000002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2588261.42</v>
      </c>
      <c r="G519" s="89">
        <f t="shared" ref="G519:L519" si="36">SUM(G516:G518)</f>
        <v>707637.43</v>
      </c>
      <c r="H519" s="89">
        <f t="shared" si="36"/>
        <v>282393.2</v>
      </c>
      <c r="I519" s="89">
        <f t="shared" si="36"/>
        <v>13187.86</v>
      </c>
      <c r="J519" s="89">
        <f t="shared" si="36"/>
        <v>0</v>
      </c>
      <c r="K519" s="89">
        <f t="shared" si="36"/>
        <v>400</v>
      </c>
      <c r="L519" s="89">
        <f t="shared" si="36"/>
        <v>3591879.91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>
        <v>160054.69</v>
      </c>
      <c r="H521" s="18">
        <v>43630.91</v>
      </c>
      <c r="I521" s="18">
        <v>57586.17</v>
      </c>
      <c r="J521" s="18"/>
      <c r="K521" s="18"/>
      <c r="L521" s="88">
        <f>SUM(F521:K521)</f>
        <v>261271.77000000002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>
        <v>83506.649999999994</v>
      </c>
      <c r="H522" s="18">
        <v>22847.42</v>
      </c>
      <c r="I522" s="18">
        <v>30044.93</v>
      </c>
      <c r="J522" s="18"/>
      <c r="K522" s="18"/>
      <c r="L522" s="88">
        <f>SUM(F522:K522)</f>
        <v>136399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>
        <v>104383.73</v>
      </c>
      <c r="H523" s="18">
        <v>28653.33</v>
      </c>
      <c r="I523" s="18">
        <v>37556.15</v>
      </c>
      <c r="J523" s="18"/>
      <c r="K523" s="18"/>
      <c r="L523" s="88">
        <f>SUM(F523:K523)</f>
        <v>170593.21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347945.07</v>
      </c>
      <c r="H524" s="89">
        <f t="shared" si="37"/>
        <v>95131.66</v>
      </c>
      <c r="I524" s="89">
        <f t="shared" si="37"/>
        <v>125187.25</v>
      </c>
      <c r="J524" s="89">
        <f t="shared" si="37"/>
        <v>0</v>
      </c>
      <c r="K524" s="89">
        <f t="shared" si="37"/>
        <v>0</v>
      </c>
      <c r="L524" s="89">
        <f t="shared" si="37"/>
        <v>568263.98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0</v>
      </c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1234610.0900000001</v>
      </c>
      <c r="I531" s="18"/>
      <c r="J531" s="18"/>
      <c r="K531" s="18"/>
      <c r="L531" s="88">
        <f>SUM(F531:K531)</f>
        <v>1234610.0900000001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412517.7</v>
      </c>
      <c r="I532" s="18"/>
      <c r="J532" s="18"/>
      <c r="K532" s="18"/>
      <c r="L532" s="88">
        <f>SUM(F532:K532)</f>
        <v>412517.7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664011.71</v>
      </c>
      <c r="I533" s="18"/>
      <c r="J533" s="18"/>
      <c r="K533" s="18"/>
      <c r="L533" s="88">
        <f>SUM(F533:K533)</f>
        <v>664011.71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2311139.5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2311139.5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15012263.43</v>
      </c>
      <c r="G535" s="89">
        <f t="shared" ref="G535:L535" si="40">G514+G519+G524+G529+G534</f>
        <v>4449887.5200000005</v>
      </c>
      <c r="H535" s="89">
        <f t="shared" si="40"/>
        <v>6192307.3600000003</v>
      </c>
      <c r="I535" s="89">
        <f t="shared" si="40"/>
        <v>197925.27</v>
      </c>
      <c r="J535" s="89">
        <f t="shared" si="40"/>
        <v>13365.670000000002</v>
      </c>
      <c r="K535" s="89">
        <f t="shared" si="40"/>
        <v>400</v>
      </c>
      <c r="L535" s="89">
        <f t="shared" si="40"/>
        <v>25866149.25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9993413.4100000001</v>
      </c>
      <c r="G539" s="87">
        <f>L516</f>
        <v>1657557.95</v>
      </c>
      <c r="H539" s="87">
        <f>L521</f>
        <v>261271.77000000002</v>
      </c>
      <c r="I539" s="87">
        <f>L526</f>
        <v>0</v>
      </c>
      <c r="J539" s="87">
        <f>L531</f>
        <v>1234610.0900000001</v>
      </c>
      <c r="K539" s="87">
        <f>SUM(F539:J539)</f>
        <v>13146853.219999999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3821702.6199999996</v>
      </c>
      <c r="G540" s="87">
        <f>L517</f>
        <v>877437.52</v>
      </c>
      <c r="H540" s="87">
        <f>L522</f>
        <v>136399</v>
      </c>
      <c r="I540" s="87">
        <f>L527</f>
        <v>0</v>
      </c>
      <c r="J540" s="87">
        <f>L532</f>
        <v>412517.7</v>
      </c>
      <c r="K540" s="87">
        <f>SUM(F540:J540)</f>
        <v>5248056.84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5579749.8300000001</v>
      </c>
      <c r="G541" s="87">
        <f>L518</f>
        <v>1056884.4400000002</v>
      </c>
      <c r="H541" s="87">
        <f>L523</f>
        <v>170593.21</v>
      </c>
      <c r="I541" s="87">
        <f>L528</f>
        <v>0</v>
      </c>
      <c r="J541" s="87">
        <f>L533</f>
        <v>664011.71</v>
      </c>
      <c r="K541" s="87">
        <f>SUM(F541:J541)</f>
        <v>7471239.1900000004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19394865.859999999</v>
      </c>
      <c r="G542" s="89">
        <f t="shared" si="41"/>
        <v>3591879.91</v>
      </c>
      <c r="H542" s="89">
        <f t="shared" si="41"/>
        <v>568263.98</v>
      </c>
      <c r="I542" s="89">
        <f t="shared" si="41"/>
        <v>0</v>
      </c>
      <c r="J542" s="89">
        <f t="shared" si="41"/>
        <v>2311139.5</v>
      </c>
      <c r="K542" s="89">
        <f t="shared" si="41"/>
        <v>25866149.25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923747.22</v>
      </c>
      <c r="G552" s="18">
        <v>323361.96999999997</v>
      </c>
      <c r="H552" s="18">
        <v>3910.01</v>
      </c>
      <c r="I552" s="18">
        <v>8801.0400000000009</v>
      </c>
      <c r="J552" s="18"/>
      <c r="K552" s="18"/>
      <c r="L552" s="88">
        <f>SUM(F552:K552)</f>
        <v>1259820.24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297942.05</v>
      </c>
      <c r="G553" s="18">
        <v>88238.74</v>
      </c>
      <c r="H553" s="18">
        <v>1757.17</v>
      </c>
      <c r="I553" s="18">
        <v>2526.56</v>
      </c>
      <c r="J553" s="18"/>
      <c r="K553" s="18"/>
      <c r="L553" s="88">
        <f>SUM(F553:K553)</f>
        <v>390464.51999999996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313850.23</v>
      </c>
      <c r="G554" s="18">
        <v>117060.17</v>
      </c>
      <c r="H554" s="18">
        <v>2740.77</v>
      </c>
      <c r="I554" s="18">
        <v>1408.94</v>
      </c>
      <c r="J554" s="18"/>
      <c r="K554" s="18"/>
      <c r="L554" s="88">
        <f>SUM(F554:K554)</f>
        <v>435060.11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1535539.5</v>
      </c>
      <c r="G555" s="89">
        <f t="shared" si="43"/>
        <v>528660.88</v>
      </c>
      <c r="H555" s="89">
        <f t="shared" si="43"/>
        <v>8407.9500000000007</v>
      </c>
      <c r="I555" s="89">
        <f t="shared" si="43"/>
        <v>12736.54</v>
      </c>
      <c r="J555" s="89">
        <f t="shared" si="43"/>
        <v>0</v>
      </c>
      <c r="K555" s="89">
        <f t="shared" si="43"/>
        <v>0</v>
      </c>
      <c r="L555" s="89">
        <f t="shared" si="43"/>
        <v>2085344.87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180809.41</v>
      </c>
      <c r="G557" s="18">
        <v>61475.199999999997</v>
      </c>
      <c r="H557" s="18"/>
      <c r="I557" s="18">
        <v>372.7</v>
      </c>
      <c r="J557" s="18"/>
      <c r="K557" s="18"/>
      <c r="L557" s="88">
        <f>SUM(F557:K557)</f>
        <v>242657.31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93728.63</v>
      </c>
      <c r="G558" s="18">
        <v>23598.240000000002</v>
      </c>
      <c r="H558" s="18">
        <v>29109.29</v>
      </c>
      <c r="I558" s="18">
        <v>1043.28</v>
      </c>
      <c r="J558" s="18"/>
      <c r="K558" s="18">
        <v>2362.04</v>
      </c>
      <c r="L558" s="88">
        <f>SUM(F558:K558)</f>
        <v>149841.48000000001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274538.04000000004</v>
      </c>
      <c r="G560" s="194">
        <f t="shared" ref="G560:L560" si="44">SUM(G557:G559)</f>
        <v>85073.44</v>
      </c>
      <c r="H560" s="194">
        <f t="shared" si="44"/>
        <v>29109.29</v>
      </c>
      <c r="I560" s="194">
        <f t="shared" si="44"/>
        <v>1415.98</v>
      </c>
      <c r="J560" s="194">
        <f t="shared" si="44"/>
        <v>0</v>
      </c>
      <c r="K560" s="194">
        <f t="shared" si="44"/>
        <v>2362.04</v>
      </c>
      <c r="L560" s="194">
        <f t="shared" si="44"/>
        <v>392498.79000000004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1810077.54</v>
      </c>
      <c r="G561" s="89">
        <f t="shared" ref="G561:L561" si="45">G550+G555+G560</f>
        <v>613734.32000000007</v>
      </c>
      <c r="H561" s="89">
        <f t="shared" si="45"/>
        <v>37517.240000000005</v>
      </c>
      <c r="I561" s="89">
        <f t="shared" si="45"/>
        <v>14152.52</v>
      </c>
      <c r="J561" s="89">
        <f t="shared" si="45"/>
        <v>0</v>
      </c>
      <c r="K561" s="89">
        <f t="shared" si="45"/>
        <v>2362.04</v>
      </c>
      <c r="L561" s="89">
        <f t="shared" si="45"/>
        <v>2477843.66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109881.91</v>
      </c>
      <c r="G569" s="18">
        <v>12974.24</v>
      </c>
      <c r="H569" s="18">
        <v>67736.570000000007</v>
      </c>
      <c r="I569" s="87">
        <f t="shared" si="46"/>
        <v>190592.72000000003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96114.34</v>
      </c>
      <c r="G570" s="18"/>
      <c r="H570" s="18">
        <v>156644.19</v>
      </c>
      <c r="I570" s="87">
        <f t="shared" si="46"/>
        <v>252758.53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527041.18000000005</v>
      </c>
      <c r="G572" s="18">
        <v>486685.68</v>
      </c>
      <c r="H572" s="18">
        <v>2032372.13</v>
      </c>
      <c r="I572" s="87">
        <f t="shared" si="46"/>
        <v>3046098.99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614422.72</v>
      </c>
      <c r="I581" s="18">
        <v>787388.58</v>
      </c>
      <c r="J581" s="18">
        <v>888298.85</v>
      </c>
      <c r="K581" s="104">
        <f t="shared" ref="K581:K587" si="47">SUM(H581:J581)</f>
        <v>2290110.15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1234610.0900000001</v>
      </c>
      <c r="I582" s="18">
        <v>412517.7</v>
      </c>
      <c r="J582" s="18">
        <v>664011.71</v>
      </c>
      <c r="K582" s="104">
        <f t="shared" si="47"/>
        <v>2311139.5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20223.34</v>
      </c>
      <c r="K583" s="104">
        <f t="shared" si="47"/>
        <v>20223.34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15121.19</v>
      </c>
      <c r="J584" s="18">
        <v>92673.279999999999</v>
      </c>
      <c r="K584" s="104">
        <f t="shared" si="47"/>
        <v>107794.47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9116.07</v>
      </c>
      <c r="K585" s="104">
        <f t="shared" si="47"/>
        <v>9116.07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1849032.81</v>
      </c>
      <c r="I588" s="108">
        <f>SUM(I581:I587)</f>
        <v>1215027.47</v>
      </c>
      <c r="J588" s="108">
        <f>SUM(J581:J587)</f>
        <v>1674323.2500000002</v>
      </c>
      <c r="K588" s="108">
        <f>SUM(K581:K587)</f>
        <v>4738383.53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364672.7</v>
      </c>
      <c r="I594" s="18">
        <v>32994.69</v>
      </c>
      <c r="J594" s="18">
        <v>170804.81</v>
      </c>
      <c r="K594" s="104">
        <f>SUM(H594:J594)</f>
        <v>568472.19999999995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364672.7</v>
      </c>
      <c r="I595" s="108">
        <f>SUM(I592:I594)</f>
        <v>32994.69</v>
      </c>
      <c r="J595" s="108">
        <f>SUM(J592:J594)</f>
        <v>170804.81</v>
      </c>
      <c r="K595" s="108">
        <f>SUM(K592:K594)</f>
        <v>568472.19999999995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49891.42</v>
      </c>
      <c r="G601" s="18">
        <v>9922.9500000000007</v>
      </c>
      <c r="H601" s="18">
        <v>399.08</v>
      </c>
      <c r="I601" s="18">
        <v>1145.1099999999999</v>
      </c>
      <c r="J601" s="18"/>
      <c r="K601" s="18"/>
      <c r="L601" s="88">
        <f>SUM(F601:K601)</f>
        <v>61358.559999999998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23282.66</v>
      </c>
      <c r="G602" s="18">
        <v>6169.61</v>
      </c>
      <c r="H602" s="18">
        <v>186.24</v>
      </c>
      <c r="I602" s="18">
        <v>534.39</v>
      </c>
      <c r="J602" s="18"/>
      <c r="K602" s="18"/>
      <c r="L602" s="88">
        <f>SUM(F602:K602)</f>
        <v>30172.9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36912.78</v>
      </c>
      <c r="G603" s="18">
        <v>7478.75</v>
      </c>
      <c r="H603" s="18">
        <v>301.51</v>
      </c>
      <c r="I603" s="18">
        <v>865.19</v>
      </c>
      <c r="J603" s="18"/>
      <c r="K603" s="18"/>
      <c r="L603" s="88">
        <f>SUM(F603:K603)</f>
        <v>45558.23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110086.86</v>
      </c>
      <c r="G604" s="108">
        <f t="shared" si="48"/>
        <v>23571.31</v>
      </c>
      <c r="H604" s="108">
        <f t="shared" si="48"/>
        <v>886.82999999999993</v>
      </c>
      <c r="I604" s="108">
        <f t="shared" si="48"/>
        <v>2544.69</v>
      </c>
      <c r="J604" s="108">
        <f t="shared" si="48"/>
        <v>0</v>
      </c>
      <c r="K604" s="108">
        <f t="shared" si="48"/>
        <v>0</v>
      </c>
      <c r="L604" s="89">
        <f t="shared" si="48"/>
        <v>137089.69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522614.46</v>
      </c>
      <c r="H608" s="109">
        <f>SUM(G44)</f>
        <v>522614.46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4192935.59</v>
      </c>
      <c r="H609" s="109">
        <f>SUM(H44)</f>
        <v>4192935.59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2527705.52</v>
      </c>
      <c r="H610" s="109">
        <f>SUM(I44)</f>
        <v>2527705.52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9449073.0300000012</v>
      </c>
      <c r="H611" s="109">
        <f>SUM(J44)</f>
        <v>9449073.0300000012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393905.51</v>
      </c>
      <c r="H613" s="109">
        <f>G466</f>
        <v>393905.50999999885</v>
      </c>
      <c r="I613" s="121" t="s">
        <v>108</v>
      </c>
      <c r="J613" s="109">
        <f t="shared" si="49"/>
        <v>1.1641532182693481E-9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1501784.02</v>
      </c>
      <c r="H614" s="109">
        <f>H466</f>
        <v>1501784.0200000014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2527705.52</v>
      </c>
      <c r="H615" s="109">
        <f>I466</f>
        <v>2527705.52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9448468.0300000012</v>
      </c>
      <c r="H616" s="109">
        <f>J466</f>
        <v>9448468.0299999993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132049930.48</v>
      </c>
      <c r="H617" s="104">
        <f>SUM(F458)</f>
        <v>132049930.48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4916362.8499999996</v>
      </c>
      <c r="H618" s="104">
        <f>SUM(G458)</f>
        <v>4916362.8499999996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13987344.140000001</v>
      </c>
      <c r="H619" s="104">
        <f>SUM(H458)</f>
        <v>13987344.140000001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1551788.1800000002</v>
      </c>
      <c r="H621" s="104">
        <f>SUM(J458)</f>
        <v>1551788.18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132049930.48999999</v>
      </c>
      <c r="H622" s="104">
        <f>SUM(F462)</f>
        <v>132049930.48999999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14203067.189999999</v>
      </c>
      <c r="H623" s="104">
        <f>SUM(H462)</f>
        <v>14203067.189999999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2286806.41</v>
      </c>
      <c r="H624" s="104">
        <f>I361</f>
        <v>2286806.41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4766721.7300000004</v>
      </c>
      <c r="H625" s="104">
        <f>SUM(G462)</f>
        <v>4766721.7300000004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422887.25</v>
      </c>
      <c r="H626" s="104">
        <f>SUM(I462)</f>
        <v>422887.25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1551788.18</v>
      </c>
      <c r="H627" s="164">
        <f>SUM(J458)</f>
        <v>1551788.18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1533891.8900000001</v>
      </c>
      <c r="H628" s="164">
        <f>SUM(J462)</f>
        <v>1533891.89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5006617.1500000004</v>
      </c>
      <c r="H629" s="104">
        <f>SUM(F451)</f>
        <v>5006617.1500000004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671695.99000000011</v>
      </c>
      <c r="H630" s="104">
        <f>SUM(G451)</f>
        <v>671695.99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3770759.89</v>
      </c>
      <c r="H631" s="104">
        <f>SUM(H451)</f>
        <v>3770759.89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9449073.0300000012</v>
      </c>
      <c r="H632" s="104">
        <f>SUM(I451)</f>
        <v>9449073.0300000012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413198.4</v>
      </c>
      <c r="H634" s="104">
        <f>H400</f>
        <v>413198.4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950000</v>
      </c>
      <c r="H635" s="104">
        <f>G400</f>
        <v>950000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1551788.1800000002</v>
      </c>
      <c r="H636" s="104">
        <f>L400</f>
        <v>1551788.18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4738383.53</v>
      </c>
      <c r="H637" s="104">
        <f>L200+L218+L236</f>
        <v>4738383.53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568472.19999999995</v>
      </c>
      <c r="H638" s="104">
        <f>(J249+J330)-(J247+J328)</f>
        <v>568472.19999999995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1849032.81</v>
      </c>
      <c r="H639" s="104">
        <f>H588</f>
        <v>1849032.81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1215027.47</v>
      </c>
      <c r="H640" s="104">
        <f>I588</f>
        <v>1215027.47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1674323.25</v>
      </c>
      <c r="H641" s="104">
        <f>J588</f>
        <v>1674323.2500000002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950000</v>
      </c>
      <c r="H645" s="104">
        <f>K258+K339</f>
        <v>950000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60385866.690000005</v>
      </c>
      <c r="G650" s="19">
        <f>(L221+L301+L351)</f>
        <v>29862600.559999999</v>
      </c>
      <c r="H650" s="19">
        <f>(L239+L320+L352)</f>
        <v>44443744.009999983</v>
      </c>
      <c r="I650" s="19">
        <f>SUM(F650:H650)</f>
        <v>134692211.25999999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984482.06768184248</v>
      </c>
      <c r="G651" s="19">
        <f>(L351/IF(SUM(L350:L352)=0,1,SUM(L350:L352))*(SUM(G89:G102)))</f>
        <v>601362.76209038519</v>
      </c>
      <c r="H651" s="19">
        <f>(L352/IF(SUM(L350:L352)=0,1,SUM(L350:L352))*(SUM(G89:G102)))</f>
        <v>850112.03022777219</v>
      </c>
      <c r="I651" s="19">
        <f>SUM(F651:H651)</f>
        <v>2435956.86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1872531.1600000001</v>
      </c>
      <c r="G652" s="19">
        <f>(L218+L298)-(J218+J298)</f>
        <v>1230301.3999999999</v>
      </c>
      <c r="H652" s="19">
        <f>(L236+L317)-(J236+J317)</f>
        <v>1694296.91</v>
      </c>
      <c r="I652" s="19">
        <f>SUM(F652:H652)</f>
        <v>4797129.47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1159068.6900000002</v>
      </c>
      <c r="G653" s="200">
        <f>SUM(G565:G577)+SUM(I592:I594)+L602</f>
        <v>562827.51</v>
      </c>
      <c r="H653" s="200">
        <f>SUM(H565:H577)+SUM(J592:J594)+L603</f>
        <v>2473115.9299999997</v>
      </c>
      <c r="I653" s="19">
        <f>SUM(F653:H653)</f>
        <v>4195012.13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56369784.772318162</v>
      </c>
      <c r="G654" s="19">
        <f>G650-SUM(G651:G653)</f>
        <v>27468108.887909614</v>
      </c>
      <c r="H654" s="19">
        <f>H650-SUM(H651:H653)</f>
        <v>39426219.139772214</v>
      </c>
      <c r="I654" s="19">
        <f>I650-SUM(I651:I653)</f>
        <v>123264112.79999998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5235.3599999999997</v>
      </c>
      <c r="G655" s="249">
        <v>2569.04</v>
      </c>
      <c r="H655" s="249">
        <v>4084.78</v>
      </c>
      <c r="I655" s="19">
        <f>SUM(F655:H655)</f>
        <v>11889.18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10767.13</v>
      </c>
      <c r="G657" s="19">
        <f>ROUND(G654/G655,2)</f>
        <v>10691.97</v>
      </c>
      <c r="H657" s="19">
        <f>ROUND(H654/H655,2)</f>
        <v>9651.98</v>
      </c>
      <c r="I657" s="19">
        <f>ROUND(I654/I655,2)</f>
        <v>10367.76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22.95</v>
      </c>
      <c r="I660" s="19">
        <f>SUM(F660:H660)</f>
        <v>22.95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10767.13</v>
      </c>
      <c r="G662" s="19">
        <f>ROUND((G654+G659)/(G655+G660),2)</f>
        <v>10691.97</v>
      </c>
      <c r="H662" s="19">
        <f>ROUND((H654+H659)/(H655+H660),2)</f>
        <v>9598.06</v>
      </c>
      <c r="I662" s="19">
        <f>ROUND((I654+I659)/(I655+I660),2)</f>
        <v>10347.780000000001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9440-94C1-4CE0-B45C-8052060D9833}">
  <sheetPr>
    <tabColor indexed="20"/>
  </sheetPr>
  <dimension ref="A1:C52"/>
  <sheetViews>
    <sheetView workbookViewId="0">
      <selection activeCell="E37" sqref="E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NASHUA SCHOOL DISTRICT, SAU #42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37520939.909999996</v>
      </c>
      <c r="C9" s="230">
        <f>'DOE25'!G189+'DOE25'!G207+'DOE25'!G225+'DOE25'!G268+'DOE25'!G287+'DOE25'!G306</f>
        <v>13916949.700000001</v>
      </c>
    </row>
    <row r="10" spans="1:3" x14ac:dyDescent="0.2">
      <c r="A10" t="s">
        <v>813</v>
      </c>
      <c r="B10" s="241">
        <v>34398449.920000002</v>
      </c>
      <c r="C10" s="241">
        <v>13051459.869999999</v>
      </c>
    </row>
    <row r="11" spans="1:3" x14ac:dyDescent="0.2">
      <c r="A11" t="s">
        <v>814</v>
      </c>
      <c r="B11" s="241">
        <v>484691.94</v>
      </c>
      <c r="C11" s="241">
        <v>87339.58</v>
      </c>
    </row>
    <row r="12" spans="1:3" x14ac:dyDescent="0.2">
      <c r="A12" t="s">
        <v>815</v>
      </c>
      <c r="B12" s="241">
        <f>37520939.91-34883141.86</f>
        <v>2637798.049999997</v>
      </c>
      <c r="C12" s="241">
        <v>778150.25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37520939.909999996</v>
      </c>
      <c r="C13" s="232">
        <f>SUM(C10:C12)</f>
        <v>13916949.699999999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16791543.5</v>
      </c>
      <c r="C18" s="230">
        <f>'DOE25'!G190+'DOE25'!G208+'DOE25'!G226+'DOE25'!G269+'DOE25'!G288+'DOE25'!G307</f>
        <v>5193196.43</v>
      </c>
    </row>
    <row r="19" spans="1:3" x14ac:dyDescent="0.2">
      <c r="A19" t="s">
        <v>813</v>
      </c>
      <c r="B19" s="241">
        <v>10337810.5</v>
      </c>
      <c r="C19" s="241">
        <v>3840806.74</v>
      </c>
    </row>
    <row r="20" spans="1:3" x14ac:dyDescent="0.2">
      <c r="A20" t="s">
        <v>814</v>
      </c>
      <c r="B20" s="241">
        <v>5642995.25</v>
      </c>
      <c r="C20" s="241">
        <v>1128611.81</v>
      </c>
    </row>
    <row r="21" spans="1:3" x14ac:dyDescent="0.2">
      <c r="A21" t="s">
        <v>815</v>
      </c>
      <c r="B21" s="241">
        <f>16791543.5-15980805.75</f>
        <v>810737.75</v>
      </c>
      <c r="C21" s="241">
        <v>223777.88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16791543.5</v>
      </c>
      <c r="C22" s="232">
        <f>SUM(C19:C21)</f>
        <v>5193196.4300000006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2964989.66</v>
      </c>
      <c r="C27" s="235">
        <f>'DOE25'!G191+'DOE25'!G209+'DOE25'!G227+'DOE25'!G270+'DOE25'!G289+'DOE25'!G308</f>
        <v>1124031.0799999998</v>
      </c>
    </row>
    <row r="28" spans="1:3" x14ac:dyDescent="0.2">
      <c r="A28" t="s">
        <v>813</v>
      </c>
      <c r="B28" s="241">
        <v>2757251.08</v>
      </c>
      <c r="C28" s="241">
        <v>1056027.1599999999</v>
      </c>
    </row>
    <row r="29" spans="1:3" x14ac:dyDescent="0.2">
      <c r="A29" t="s">
        <v>814</v>
      </c>
      <c r="B29" s="241">
        <v>42336.23</v>
      </c>
      <c r="C29" s="241">
        <v>4489.41</v>
      </c>
    </row>
    <row r="30" spans="1:3" x14ac:dyDescent="0.2">
      <c r="A30" t="s">
        <v>815</v>
      </c>
      <c r="B30" s="241">
        <f>2964989.66-2799587.31</f>
        <v>165402.35000000009</v>
      </c>
      <c r="C30" s="241">
        <v>63514.51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2964989.66</v>
      </c>
      <c r="C31" s="232">
        <f>SUM(C28:C30)</f>
        <v>1124031.0799999998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1589616.4100000001</v>
      </c>
      <c r="C36" s="236">
        <f>'DOE25'!G192+'DOE25'!G210+'DOE25'!G228+'DOE25'!G271+'DOE25'!G290+'DOE25'!G309</f>
        <v>418889.44000000006</v>
      </c>
    </row>
    <row r="37" spans="1:3" x14ac:dyDescent="0.2">
      <c r="A37" t="s">
        <v>813</v>
      </c>
      <c r="B37" s="241">
        <v>236645.41</v>
      </c>
      <c r="C37" s="241">
        <v>82825.89</v>
      </c>
    </row>
    <row r="38" spans="1:3" x14ac:dyDescent="0.2">
      <c r="A38" t="s">
        <v>814</v>
      </c>
      <c r="B38" s="241">
        <v>0</v>
      </c>
      <c r="C38" s="241"/>
    </row>
    <row r="39" spans="1:3" x14ac:dyDescent="0.2">
      <c r="A39" t="s">
        <v>815</v>
      </c>
      <c r="B39" s="241">
        <f>1589616.41-236645.41</f>
        <v>1352971</v>
      </c>
      <c r="C39" s="241">
        <v>336063.55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1589616.41</v>
      </c>
      <c r="C40" s="232">
        <f>SUM(C37:C39)</f>
        <v>418889.44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0878-78DC-4316-82B1-7A4367740DA6}">
  <sheetPr>
    <tabColor indexed="11"/>
  </sheetPr>
  <dimension ref="A1:I51"/>
  <sheetViews>
    <sheetView workbookViewId="0">
      <pane ySplit="4" topLeftCell="A5" activePane="bottomLeft" state="frozen"/>
      <selection pane="bottomLeft" activeCell="E24" sqref="E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NASHUA SCHOOL DISTRICT, SAU #42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75261738.989999995</v>
      </c>
      <c r="D5" s="20">
        <f>SUM('DOE25'!L189:L192)+SUM('DOE25'!L207:L210)+SUM('DOE25'!L225:L228)-F5-G5</f>
        <v>75210944.229999989</v>
      </c>
      <c r="E5" s="244"/>
      <c r="F5" s="256">
        <f>SUM('DOE25'!J189:J192)+SUM('DOE25'!J207:J210)+SUM('DOE25'!J225:J228)</f>
        <v>35553.760000000002</v>
      </c>
      <c r="G5" s="53">
        <f>SUM('DOE25'!K189:K192)+SUM('DOE25'!K207:K210)+SUM('DOE25'!K225:K228)</f>
        <v>15241</v>
      </c>
      <c r="H5" s="260"/>
    </row>
    <row r="6" spans="1:9" x14ac:dyDescent="0.2">
      <c r="A6" s="32">
        <v>2100</v>
      </c>
      <c r="B6" t="s">
        <v>835</v>
      </c>
      <c r="C6" s="246">
        <f t="shared" si="0"/>
        <v>9399591.0700000003</v>
      </c>
      <c r="D6" s="20">
        <f>'DOE25'!L194+'DOE25'!L212+'DOE25'!L230-F6-G6</f>
        <v>9399191.0700000003</v>
      </c>
      <c r="E6" s="244"/>
      <c r="F6" s="256">
        <f>'DOE25'!J194+'DOE25'!J212+'DOE25'!J230</f>
        <v>0</v>
      </c>
      <c r="G6" s="53">
        <f>'DOE25'!K194+'DOE25'!K212+'DOE25'!K230</f>
        <v>400</v>
      </c>
      <c r="H6" s="260"/>
    </row>
    <row r="7" spans="1:9" x14ac:dyDescent="0.2">
      <c r="A7" s="32">
        <v>2200</v>
      </c>
      <c r="B7" t="s">
        <v>868</v>
      </c>
      <c r="C7" s="246">
        <f t="shared" si="0"/>
        <v>3221164.36</v>
      </c>
      <c r="D7" s="20">
        <f>'DOE25'!L195+'DOE25'!L213+'DOE25'!L231-F7-G7</f>
        <v>3196390.4099999997</v>
      </c>
      <c r="E7" s="244"/>
      <c r="F7" s="256">
        <f>'DOE25'!J195+'DOE25'!J213+'DOE25'!J231</f>
        <v>24773.95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1996431.3799999997</v>
      </c>
      <c r="D8" s="244"/>
      <c r="E8" s="20">
        <f>'DOE25'!L196+'DOE25'!L214+'DOE25'!L232-F8-G8-D9-D11</f>
        <v>1898540.6499999997</v>
      </c>
      <c r="F8" s="256">
        <f>'DOE25'!J196+'DOE25'!J214+'DOE25'!J232</f>
        <v>42834.22</v>
      </c>
      <c r="G8" s="53">
        <f>'DOE25'!K196+'DOE25'!K214+'DOE25'!K232</f>
        <v>55056.509999999995</v>
      </c>
      <c r="H8" s="260"/>
    </row>
    <row r="9" spans="1:9" x14ac:dyDescent="0.2">
      <c r="A9" s="32">
        <v>2310</v>
      </c>
      <c r="B9" t="s">
        <v>852</v>
      </c>
      <c r="C9" s="246">
        <f t="shared" si="0"/>
        <v>85619.12</v>
      </c>
      <c r="D9" s="245">
        <v>85619.12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32750</v>
      </c>
      <c r="D10" s="244"/>
      <c r="E10" s="245">
        <v>32750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417942.05</v>
      </c>
      <c r="D11" s="245">
        <f>305622.82+112319.23</f>
        <v>417942.05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6621586.1799999997</v>
      </c>
      <c r="D12" s="20">
        <f>'DOE25'!L197+'DOE25'!L215+'DOE25'!L233-F12-G12</f>
        <v>6618744.1799999997</v>
      </c>
      <c r="E12" s="244"/>
      <c r="F12" s="256">
        <f>'DOE25'!J197+'DOE25'!J215+'DOE25'!J233</f>
        <v>0</v>
      </c>
      <c r="G12" s="53">
        <f>'DOE25'!K197+'DOE25'!K215+'DOE25'!K233</f>
        <v>2842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775784.99</v>
      </c>
      <c r="D13" s="244"/>
      <c r="E13" s="20">
        <f>'DOE25'!L198+'DOE25'!L216+'DOE25'!L234-F13-G13</f>
        <v>775784.99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13048608.549999999</v>
      </c>
      <c r="D14" s="20">
        <f>'DOE25'!L199+'DOE25'!L217+'DOE25'!L235-F14-G14</f>
        <v>12994439.619999999</v>
      </c>
      <c r="E14" s="244"/>
      <c r="F14" s="256">
        <f>'DOE25'!J199+'DOE25'!J217+'DOE25'!J235</f>
        <v>54168.929999999993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4738383.53</v>
      </c>
      <c r="D15" s="20">
        <f>'DOE25'!L200+'DOE25'!L218+'DOE25'!L236-F15-G15</f>
        <v>4738383.53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367058.00000000006</v>
      </c>
      <c r="D16" s="244"/>
      <c r="E16" s="20">
        <f>'DOE25'!L201+'DOE25'!L219+'DOE25'!L237-F16-G16</f>
        <v>367058.00000000006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126492.26999999999</v>
      </c>
      <c r="D17" s="20">
        <f>'DOE25'!L243-F17-G17</f>
        <v>126492.26999999999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655457</v>
      </c>
      <c r="D22" s="244"/>
      <c r="E22" s="244"/>
      <c r="F22" s="256">
        <f>'DOE25'!L247+'DOE25'!L328</f>
        <v>655457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14384073</v>
      </c>
      <c r="D25" s="244"/>
      <c r="E25" s="244"/>
      <c r="F25" s="259"/>
      <c r="G25" s="257"/>
      <c r="H25" s="258">
        <f>'DOE25'!L252+'DOE25'!L253+'DOE25'!L333+'DOE25'!L334</f>
        <v>14384073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2669979.0000000005</v>
      </c>
      <c r="D29" s="20">
        <f>'DOE25'!L350+'DOE25'!L351+'DOE25'!L352-'DOE25'!I359-F29-G29</f>
        <v>2586603.4500000007</v>
      </c>
      <c r="E29" s="244"/>
      <c r="F29" s="256">
        <f>'DOE25'!J350+'DOE25'!J351+'DOE25'!J352</f>
        <v>83375.55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14183170.999999998</v>
      </c>
      <c r="D31" s="20">
        <f>'DOE25'!L282+'DOE25'!L301+'DOE25'!L320+'DOE25'!L325+'DOE25'!L326+'DOE25'!L327-F31-G31</f>
        <v>13299920.129999999</v>
      </c>
      <c r="E31" s="244"/>
      <c r="F31" s="256">
        <f>'DOE25'!J282+'DOE25'!J301+'DOE25'!J320+'DOE25'!J325+'DOE25'!J326+'DOE25'!J327</f>
        <v>411141.34</v>
      </c>
      <c r="G31" s="53">
        <f>'DOE25'!K282+'DOE25'!K301+'DOE25'!K320+'DOE25'!K325+'DOE25'!K326+'DOE25'!K327</f>
        <v>472109.53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128674670.05999997</v>
      </c>
      <c r="E33" s="247">
        <f>SUM(E5:E31)</f>
        <v>3074133.6399999997</v>
      </c>
      <c r="F33" s="247">
        <f>SUM(F5:F31)</f>
        <v>1307304.75</v>
      </c>
      <c r="G33" s="247">
        <f>SUM(G5:G31)</f>
        <v>545649.04</v>
      </c>
      <c r="H33" s="247">
        <f>SUM(H5:H31)</f>
        <v>14384073</v>
      </c>
    </row>
    <row r="35" spans="2:8" ht="12" thickBot="1" x14ac:dyDescent="0.25">
      <c r="B35" s="254" t="s">
        <v>881</v>
      </c>
      <c r="D35" s="255">
        <f>E33</f>
        <v>3074133.6399999997</v>
      </c>
      <c r="E35" s="250"/>
    </row>
    <row r="36" spans="2:8" ht="12" thickTop="1" x14ac:dyDescent="0.2">
      <c r="B36" t="s">
        <v>849</v>
      </c>
      <c r="D36" s="20">
        <f>D33</f>
        <v>128674670.05999997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4B7F-B749-46F4-9198-C1754F91CBA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NASHUA SCHOOL DISTRICT, SAU #42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5625632.8600000003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3795502.3600000003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497646.31</v>
      </c>
      <c r="E12" s="95">
        <f>'DOE25'!H12</f>
        <v>0</v>
      </c>
      <c r="F12" s="95">
        <f>'DOE25'!I12</f>
        <v>2527705.52</v>
      </c>
      <c r="G12" s="95">
        <f>'DOE25'!J12</f>
        <v>25936.009999999995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24968.15</v>
      </c>
      <c r="E13" s="95">
        <f>'DOE25'!H13</f>
        <v>3959853.61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233064.52</v>
      </c>
      <c r="F14" s="95">
        <f>'DOE25'!I14</f>
        <v>0</v>
      </c>
      <c r="G14" s="95">
        <f>'DOE25'!J14</f>
        <v>2001.8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17.46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522614.46</v>
      </c>
      <c r="E19" s="41">
        <f>SUM(E9:E18)</f>
        <v>4192935.59</v>
      </c>
      <c r="F19" s="41">
        <f>SUM(F9:F18)</f>
        <v>2527705.52</v>
      </c>
      <c r="G19" s="41">
        <f>SUM(G9:G18)</f>
        <v>9449073.0300000012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2065066.13</v>
      </c>
      <c r="F22" s="95">
        <f>'DOE25'!I23</f>
        <v>0</v>
      </c>
      <c r="G22" s="95">
        <f>'DOE25'!J23</f>
        <v>605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115485.37</v>
      </c>
      <c r="E24" s="95">
        <f>'DOE25'!H25</f>
        <v>106755.38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22733.18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13223.58</v>
      </c>
      <c r="E31" s="95">
        <f>'DOE25'!H32</f>
        <v>496596.88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128708.95</v>
      </c>
      <c r="E32" s="41">
        <f>SUM(E22:E31)</f>
        <v>2691151.57</v>
      </c>
      <c r="F32" s="41">
        <f>SUM(F22:F31)</f>
        <v>0</v>
      </c>
      <c r="G32" s="41">
        <f>SUM(G22:G31)</f>
        <v>605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393905.51</v>
      </c>
      <c r="E40" s="95">
        <f>'DOE25'!H41</f>
        <v>1501784.02</v>
      </c>
      <c r="F40" s="95">
        <f>'DOE25'!I41</f>
        <v>2527705.52</v>
      </c>
      <c r="G40" s="95">
        <f>'DOE25'!J41</f>
        <v>9448468.0300000012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393905.51</v>
      </c>
      <c r="E42" s="41">
        <f>SUM(E34:E41)</f>
        <v>1501784.02</v>
      </c>
      <c r="F42" s="41">
        <f>SUM(F34:F41)</f>
        <v>2527705.52</v>
      </c>
      <c r="G42" s="41">
        <f>SUM(G34:G41)</f>
        <v>9448468.0300000012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522614.46</v>
      </c>
      <c r="E43" s="41">
        <f>E42+E32</f>
        <v>4192935.59</v>
      </c>
      <c r="F43" s="41">
        <f>F42+F32</f>
        <v>2527705.52</v>
      </c>
      <c r="G43" s="41">
        <f>G42+G32</f>
        <v>9449073.0300000012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69498383.340000004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12432.93</v>
      </c>
      <c r="D49" s="24" t="s">
        <v>312</v>
      </c>
      <c r="E49" s="95">
        <f>'DOE25'!H71</f>
        <v>1089024.08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112442.25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787.25</v>
      </c>
      <c r="E51" s="95">
        <f>'DOE25'!H88</f>
        <v>0</v>
      </c>
      <c r="F51" s="95">
        <f>'DOE25'!I88</f>
        <v>0</v>
      </c>
      <c r="G51" s="95">
        <f>'DOE25'!J88</f>
        <v>413198.4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2424070.73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51483.25</v>
      </c>
      <c r="D53" s="95">
        <f>SUM('DOE25'!G90:G102)</f>
        <v>11886.13</v>
      </c>
      <c r="E53" s="95">
        <f>SUM('DOE25'!H90:H102)</f>
        <v>311336.62</v>
      </c>
      <c r="F53" s="95">
        <f>SUM('DOE25'!I90:I102)</f>
        <v>0</v>
      </c>
      <c r="G53" s="95">
        <f>SUM('DOE25'!J90:J102)</f>
        <v>188589.78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176358.43</v>
      </c>
      <c r="D54" s="130">
        <f>SUM(D49:D53)</f>
        <v>2436744.11</v>
      </c>
      <c r="E54" s="130">
        <f>SUM(E49:E53)</f>
        <v>1400360.7000000002</v>
      </c>
      <c r="F54" s="130">
        <f>SUM(F49:F53)</f>
        <v>0</v>
      </c>
      <c r="G54" s="130">
        <f>SUM(G49:G53)</f>
        <v>601788.18000000005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69674741.770000011</v>
      </c>
      <c r="D55" s="22">
        <f>D48+D54</f>
        <v>2436744.11</v>
      </c>
      <c r="E55" s="22">
        <f>E48+E54</f>
        <v>1400360.7000000002</v>
      </c>
      <c r="F55" s="22">
        <f>F48+F54</f>
        <v>0</v>
      </c>
      <c r="G55" s="22">
        <f>G48+G54</f>
        <v>601788.18000000005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26017042.469999999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19801062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9981929.5299999993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55800034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2680078.91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818178.88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140718.13999999998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277175.57</v>
      </c>
      <c r="E69" s="95">
        <f>SUM('DOE25'!H123:H127)</f>
        <v>544218.69999999995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3498257.79</v>
      </c>
      <c r="D70" s="130">
        <f>SUM(D64:D69)</f>
        <v>277175.57</v>
      </c>
      <c r="E70" s="130">
        <f>SUM(E64:E69)</f>
        <v>684936.84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59298291.789999999</v>
      </c>
      <c r="D73" s="130">
        <f>SUM(D71:D72)+D70+D62</f>
        <v>277175.57</v>
      </c>
      <c r="E73" s="130">
        <f>SUM(E71:E72)+E70+E62</f>
        <v>684936.84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715092.88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1199396.92</v>
      </c>
      <c r="D80" s="95">
        <f>SUM('DOE25'!G145:G153)</f>
        <v>2202443.17</v>
      </c>
      <c r="E80" s="95">
        <f>SUM('DOE25'!H145:H153)</f>
        <v>11186953.719999999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1199396.92</v>
      </c>
      <c r="D83" s="131">
        <f>SUM(D77:D82)</f>
        <v>2202443.17</v>
      </c>
      <c r="E83" s="131">
        <f>SUM(E77:E82)</f>
        <v>11902046.6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950000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412500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1465000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1877500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950000</v>
      </c>
    </row>
    <row r="96" spans="1:7" ht="12.75" thickTop="1" thickBot="1" x14ac:dyDescent="0.25">
      <c r="A96" s="33" t="s">
        <v>797</v>
      </c>
      <c r="C96" s="86">
        <f>C55+C73+C83+C95</f>
        <v>132049930.48</v>
      </c>
      <c r="D96" s="86">
        <f>D55+D73+D83+D95</f>
        <v>4916362.8499999996</v>
      </c>
      <c r="E96" s="86">
        <f>E55+E73+E83+E95</f>
        <v>13987344.140000001</v>
      </c>
      <c r="F96" s="86">
        <f>F55+F73+F83+F95</f>
        <v>0</v>
      </c>
      <c r="G96" s="86">
        <f>G55+G73+G95</f>
        <v>1551788.1800000002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51839033.68</v>
      </c>
      <c r="D101" s="24" t="s">
        <v>312</v>
      </c>
      <c r="E101" s="95">
        <f>('DOE25'!L268)+('DOE25'!L287)+('DOE25'!L306)</f>
        <v>875879.82000000018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18693294.840000004</v>
      </c>
      <c r="D102" s="24" t="s">
        <v>312</v>
      </c>
      <c r="E102" s="95">
        <f>('DOE25'!L269)+('DOE25'!L288)+('DOE25'!L307)</f>
        <v>8067874.8799999999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3773384.5300000007</v>
      </c>
      <c r="D103" s="24" t="s">
        <v>312</v>
      </c>
      <c r="E103" s="95">
        <f>('DOE25'!L270)+('DOE25'!L289)+('DOE25'!L308)</f>
        <v>675926.94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956025.94</v>
      </c>
      <c r="D104" s="24" t="s">
        <v>312</v>
      </c>
      <c r="E104" s="95">
        <f>+('DOE25'!L271)+('DOE25'!L290)+('DOE25'!L309)</f>
        <v>1461601.49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19896.189999999999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126492.26999999999</v>
      </c>
      <c r="D106" s="24" t="s">
        <v>312</v>
      </c>
      <c r="E106" s="95">
        <f>+ SUM('DOE25'!L325:L327)</f>
        <v>191589.69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75388231.260000005</v>
      </c>
      <c r="D107" s="86">
        <f>SUM(D101:D106)</f>
        <v>0</v>
      </c>
      <c r="E107" s="86">
        <f>SUM(E101:E106)</f>
        <v>11292769.009999998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9399591.0700000003</v>
      </c>
      <c r="D110" s="24" t="s">
        <v>312</v>
      </c>
      <c r="E110" s="95">
        <f>+('DOE25'!L273)+('DOE25'!L292)+('DOE25'!L311)</f>
        <v>463197.97000000003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3221164.36</v>
      </c>
      <c r="D111" s="24" t="s">
        <v>312</v>
      </c>
      <c r="E111" s="95">
        <f>+('DOE25'!L274)+('DOE25'!L293)+('DOE25'!L312)</f>
        <v>1851105.9100000001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2499992.5499999998</v>
      </c>
      <c r="D112" s="24" t="s">
        <v>312</v>
      </c>
      <c r="E112" s="95">
        <f>+('DOE25'!L275)+('DOE25'!L294)+('DOE25'!L313)</f>
        <v>6836.2199999999993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6621586.1799999997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775784.99</v>
      </c>
      <c r="D114" s="24" t="s">
        <v>312</v>
      </c>
      <c r="E114" s="95">
        <f>+('DOE25'!L277)+('DOE25'!L296)+('DOE25'!L315)</f>
        <v>246255.58000000002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13048608.549999999</v>
      </c>
      <c r="D115" s="24" t="s">
        <v>312</v>
      </c>
      <c r="E115" s="95">
        <f>+('DOE25'!L278)+('DOE25'!L297)+('DOE25'!L316)</f>
        <v>264365.96999999997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4738383.53</v>
      </c>
      <c r="D116" s="24" t="s">
        <v>312</v>
      </c>
      <c r="E116" s="95">
        <f>+('DOE25'!L279)+('DOE25'!L298)+('DOE25'!L317)</f>
        <v>58745.94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367058.00000000006</v>
      </c>
      <c r="D117" s="24" t="s">
        <v>312</v>
      </c>
      <c r="E117" s="95">
        <f>+('DOE25'!L280)+('DOE25'!L299)+('DOE25'!L318)</f>
        <v>19790.59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4766721.7300000004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40672169.229999997</v>
      </c>
      <c r="D120" s="86">
        <f>SUM(D110:D119)</f>
        <v>4766721.7300000004</v>
      </c>
      <c r="E120" s="86">
        <f>SUM(E110:E119)</f>
        <v>2910298.18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655457</v>
      </c>
      <c r="D122" s="24" t="s">
        <v>312</v>
      </c>
      <c r="E122" s="129">
        <f>'DOE25'!L328</f>
        <v>0</v>
      </c>
      <c r="F122" s="129">
        <f>SUM('DOE25'!L366:'DOE25'!L372)</f>
        <v>10387.25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9769813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4614260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412500</v>
      </c>
      <c r="G126" s="95">
        <f>'DOE25'!K426</f>
        <v>1465000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38742.68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1161167.42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351878.08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-601788.17999999993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15989530</v>
      </c>
      <c r="D136" s="141">
        <f>SUM(D122:D135)</f>
        <v>0</v>
      </c>
      <c r="E136" s="141">
        <f>SUM(E122:E135)</f>
        <v>0</v>
      </c>
      <c r="F136" s="141">
        <f>SUM(F122:F135)</f>
        <v>422887.25</v>
      </c>
      <c r="G136" s="141">
        <f>SUM(G122:G135)</f>
        <v>1465000</v>
      </c>
    </row>
    <row r="137" spans="1:9" ht="12.75" thickTop="1" thickBot="1" x14ac:dyDescent="0.25">
      <c r="A137" s="33" t="s">
        <v>267</v>
      </c>
      <c r="C137" s="86">
        <f>(C107+C120+C136)</f>
        <v>132049930.49000001</v>
      </c>
      <c r="D137" s="86">
        <f>(D107+D120+D136)</f>
        <v>4766721.7300000004</v>
      </c>
      <c r="E137" s="86">
        <f>(E107+E120+E136)</f>
        <v>14203067.189999998</v>
      </c>
      <c r="F137" s="86">
        <f>(F107+F120+F136)</f>
        <v>422887.25</v>
      </c>
      <c r="G137" s="86">
        <f>(G107+G120+G136)</f>
        <v>1465000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 t="str">
        <f>'DOE25'!H482</f>
        <v>***    SEE SUPPLEMENTAL SCHEDULE    ***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110365584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110365584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9769813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9769813</v>
      </c>
    </row>
    <row r="151" spans="1:7" x14ac:dyDescent="0.2">
      <c r="A151" s="22" t="s">
        <v>35</v>
      </c>
      <c r="B151" s="137">
        <f>'DOE25'!F488</f>
        <v>100595771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100595771</v>
      </c>
    </row>
    <row r="152" spans="1:7" x14ac:dyDescent="0.2">
      <c r="A152" s="22" t="s">
        <v>36</v>
      </c>
      <c r="B152" s="137">
        <f>'DOE25'!F489</f>
        <v>26209179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26209179</v>
      </c>
    </row>
    <row r="153" spans="1:7" x14ac:dyDescent="0.2">
      <c r="A153" s="22" t="s">
        <v>37</v>
      </c>
      <c r="B153" s="137">
        <f>'DOE25'!F490</f>
        <v>126804950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126804950</v>
      </c>
    </row>
    <row r="154" spans="1:7" x14ac:dyDescent="0.2">
      <c r="A154" s="22" t="s">
        <v>38</v>
      </c>
      <c r="B154" s="137">
        <f>'DOE25'!F491</f>
        <v>9530777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9530777</v>
      </c>
    </row>
    <row r="155" spans="1:7" x14ac:dyDescent="0.2">
      <c r="A155" s="22" t="s">
        <v>39</v>
      </c>
      <c r="B155" s="137">
        <f>'DOE25'!F492</f>
        <v>4198738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4198738</v>
      </c>
    </row>
    <row r="156" spans="1:7" x14ac:dyDescent="0.2">
      <c r="A156" s="22" t="s">
        <v>269</v>
      </c>
      <c r="B156" s="137">
        <f>'DOE25'!F493</f>
        <v>13729515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13729515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91B1-CDD6-4F48-86A0-B1914DAAC3D0}">
  <sheetPr codeName="Sheet3">
    <tabColor indexed="43"/>
  </sheetPr>
  <dimension ref="A1:D42"/>
  <sheetViews>
    <sheetView workbookViewId="0">
      <selection activeCell="G13" sqref="G1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NASHUA SCHOOL DISTRICT, SAU #42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10767</v>
      </c>
    </row>
    <row r="5" spans="1:4" x14ac:dyDescent="0.2">
      <c r="B5" t="s">
        <v>735</v>
      </c>
      <c r="C5" s="179">
        <f>IF('DOE25'!G655+'DOE25'!G660=0,0,ROUND('DOE25'!G662,0))</f>
        <v>10692</v>
      </c>
    </row>
    <row r="6" spans="1:4" x14ac:dyDescent="0.2">
      <c r="B6" t="s">
        <v>62</v>
      </c>
      <c r="C6" s="179">
        <f>IF('DOE25'!H655+'DOE25'!H660=0,0,ROUND('DOE25'!H662,0))</f>
        <v>9598</v>
      </c>
    </row>
    <row r="7" spans="1:4" x14ac:dyDescent="0.2">
      <c r="B7" t="s">
        <v>736</v>
      </c>
      <c r="C7" s="179">
        <f>IF('DOE25'!I655+'DOE25'!I660=0,0,ROUND('DOE25'!I662,0))</f>
        <v>10348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52714914</v>
      </c>
      <c r="D10" s="182">
        <f>ROUND((C10/$C$28)*100,1)</f>
        <v>38.4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26761170</v>
      </c>
      <c r="D11" s="182">
        <f>ROUND((C11/$C$28)*100,1)</f>
        <v>19.5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4449311</v>
      </c>
      <c r="D12" s="182">
        <f>ROUND((C12/$C$28)*100,1)</f>
        <v>3.2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2417627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9862789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5072270</v>
      </c>
      <c r="D16" s="182">
        <f t="shared" si="0"/>
        <v>3.7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2893677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6621586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1022041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13312975</v>
      </c>
      <c r="D20" s="182">
        <f t="shared" si="0"/>
        <v>9.6999999999999993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4797129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19896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318082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4614260</v>
      </c>
      <c r="D25" s="182">
        <f t="shared" si="0"/>
        <v>3.4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2330765.14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137208492.13999999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665844</v>
      </c>
    </row>
    <row r="30" spans="1:4" x14ac:dyDescent="0.2">
      <c r="B30" s="187" t="s">
        <v>760</v>
      </c>
      <c r="C30" s="180">
        <f>SUM(C28:C29)</f>
        <v>137874336.13999999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9769813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69498383</v>
      </c>
      <c r="D35" s="182">
        <f t="shared" ref="D35:D40" si="1">ROUND((C35/$C$41)*100,1)</f>
        <v>47.2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2179294.9000000209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45818104</v>
      </c>
      <c r="D37" s="182">
        <f t="shared" si="1"/>
        <v>31.1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14442300</v>
      </c>
      <c r="D38" s="182">
        <f t="shared" si="1"/>
        <v>9.8000000000000007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15303887</v>
      </c>
      <c r="D39" s="182">
        <f t="shared" si="1"/>
        <v>10.4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147241968.90000004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horizontalCentered="1"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C971-1BE0-4E11-98CD-884408F7CB89}">
  <sheetPr>
    <tabColor indexed="17"/>
  </sheetPr>
  <dimension ref="A1:IV90"/>
  <sheetViews>
    <sheetView workbookViewId="0">
      <pane ySplit="3" topLeftCell="A4" activePane="bottomLeft" state="frozen"/>
      <selection pane="bottomLeft" activeCell="F2" sqref="F2:I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NASHUA SCHOOL DISTRICT, SAU #42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 t="s">
        <v>910</v>
      </c>
      <c r="B4" s="220">
        <v>6</v>
      </c>
      <c r="C4" s="281" t="s">
        <v>894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 t="s">
        <v>910</v>
      </c>
      <c r="B5" s="220">
        <v>10</v>
      </c>
      <c r="C5" s="281" t="s">
        <v>895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 t="s">
        <v>910</v>
      </c>
      <c r="B6" s="220">
        <v>11</v>
      </c>
      <c r="C6" s="281" t="s">
        <v>896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 t="s">
        <v>910</v>
      </c>
      <c r="B7" s="220">
        <v>15</v>
      </c>
      <c r="C7" s="281" t="s">
        <v>897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>
        <v>18</v>
      </c>
      <c r="C8" s="281" t="s">
        <v>899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 t="s">
        <v>911</v>
      </c>
      <c r="B9" s="220" t="s">
        <v>908</v>
      </c>
      <c r="C9" s="287" t="s">
        <v>909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>
        <v>14</v>
      </c>
      <c r="C10" s="281" t="s">
        <v>899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 t="s">
        <v>912</v>
      </c>
      <c r="B11" s="220">
        <v>12</v>
      </c>
      <c r="C11" s="281" t="s">
        <v>898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>
        <v>24</v>
      </c>
      <c r="C12" s="281" t="s">
        <v>899</v>
      </c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 t="s">
        <v>913</v>
      </c>
      <c r="B13" s="271" t="s">
        <v>901</v>
      </c>
      <c r="C13" s="281" t="s">
        <v>900</v>
      </c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>
        <v>14</v>
      </c>
      <c r="B14" s="220"/>
      <c r="C14" s="281" t="s">
        <v>899</v>
      </c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>
        <v>19</v>
      </c>
      <c r="B15" s="271" t="s">
        <v>902</v>
      </c>
      <c r="C15" s="281" t="s">
        <v>903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 t="s">
        <v>894</v>
      </c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7" t="s">
        <v>906</v>
      </c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7" t="s">
        <v>907</v>
      </c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7" t="s">
        <v>904</v>
      </c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7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2010-10-05T12:35:42Z</cp:lastPrinted>
  <dcterms:created xsi:type="dcterms:W3CDTF">1997-12-04T19:04:30Z</dcterms:created>
  <dcterms:modified xsi:type="dcterms:W3CDTF">2025-01-09T20:09:51Z</dcterms:modified>
</cp:coreProperties>
</file>