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B504B01-7E6E-4F4C-B9CC-4C64E3B94CC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C4F4A6E8-73C4-493F-B69E-094E39023CF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H9" i="1"/>
  <c r="G12" i="1"/>
  <c r="G9" i="1"/>
  <c r="F12" i="1"/>
  <c r="F19" i="1" s="1"/>
  <c r="G607" i="1" s="1"/>
  <c r="H276" i="1"/>
  <c r="J582" i="1"/>
  <c r="I582" i="1"/>
  <c r="H582" i="1"/>
  <c r="G511" i="1"/>
  <c r="G514" i="1" s="1"/>
  <c r="G535" i="1" s="1"/>
  <c r="F511" i="1"/>
  <c r="F514" i="1" s="1"/>
  <c r="F535" i="1" s="1"/>
  <c r="G269" i="1"/>
  <c r="G282" i="1" s="1"/>
  <c r="G330" i="1" s="1"/>
  <c r="G344" i="1" s="1"/>
  <c r="F269" i="1"/>
  <c r="G89" i="1"/>
  <c r="D52" i="2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E16" i="13"/>
  <c r="C16" i="13" s="1"/>
  <c r="L201" i="1"/>
  <c r="L219" i="1"/>
  <c r="L237" i="1"/>
  <c r="F5" i="13"/>
  <c r="D5" i="13" s="1"/>
  <c r="G5" i="13"/>
  <c r="L189" i="1"/>
  <c r="L203" i="1" s="1"/>
  <c r="L190" i="1"/>
  <c r="L191" i="1"/>
  <c r="L192" i="1"/>
  <c r="L207" i="1"/>
  <c r="L221" i="1" s="1"/>
  <c r="L208" i="1"/>
  <c r="C102" i="2" s="1"/>
  <c r="L209" i="1"/>
  <c r="L210" i="1"/>
  <c r="L225" i="1"/>
  <c r="L226" i="1"/>
  <c r="L227" i="1"/>
  <c r="L228" i="1"/>
  <c r="F6" i="13"/>
  <c r="G6" i="13"/>
  <c r="L194" i="1"/>
  <c r="L212" i="1"/>
  <c r="C15" i="10" s="1"/>
  <c r="L230" i="1"/>
  <c r="L239" i="1" s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D14" i="13" s="1"/>
  <c r="C14" i="13" s="1"/>
  <c r="L199" i="1"/>
  <c r="C115" i="2" s="1"/>
  <c r="L217" i="1"/>
  <c r="L235" i="1"/>
  <c r="F15" i="13"/>
  <c r="G15" i="13"/>
  <c r="D15" i="13"/>
  <c r="C15" i="13" s="1"/>
  <c r="L200" i="1"/>
  <c r="L218" i="1"/>
  <c r="C21" i="10" s="1"/>
  <c r="L236" i="1"/>
  <c r="H652" i="1" s="1"/>
  <c r="F17" i="13"/>
  <c r="D17" i="13" s="1"/>
  <c r="C17" i="13" s="1"/>
  <c r="G17" i="13"/>
  <c r="L243" i="1"/>
  <c r="F18" i="13"/>
  <c r="G18" i="13"/>
  <c r="D18" i="13"/>
  <c r="C18" i="13" s="1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F651" i="1" s="1"/>
  <c r="L352" i="1"/>
  <c r="L354" i="1" s="1"/>
  <c r="I359" i="1"/>
  <c r="J282" i="1"/>
  <c r="J301" i="1"/>
  <c r="F31" i="13" s="1"/>
  <c r="J320" i="1"/>
  <c r="K282" i="1"/>
  <c r="G31" i="13" s="1"/>
  <c r="K301" i="1"/>
  <c r="K320" i="1"/>
  <c r="L268" i="1"/>
  <c r="E101" i="2" s="1"/>
  <c r="E107" i="2" s="1"/>
  <c r="L269" i="1"/>
  <c r="E102" i="2" s="1"/>
  <c r="L270" i="1"/>
  <c r="L271" i="1"/>
  <c r="L273" i="1"/>
  <c r="L274" i="1"/>
  <c r="L275" i="1"/>
  <c r="E112" i="2" s="1"/>
  <c r="L276" i="1"/>
  <c r="L277" i="1"/>
  <c r="L278" i="1"/>
  <c r="L279" i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E116" i="2" s="1"/>
  <c r="L318" i="1"/>
  <c r="L325" i="1"/>
  <c r="L326" i="1"/>
  <c r="L327" i="1"/>
  <c r="L252" i="1"/>
  <c r="C32" i="10" s="1"/>
  <c r="L253" i="1"/>
  <c r="L333" i="1"/>
  <c r="L334" i="1"/>
  <c r="L247" i="1"/>
  <c r="C122" i="2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C35" i="10" s="1"/>
  <c r="G48" i="2"/>
  <c r="G55" i="2" s="1"/>
  <c r="G51" i="2"/>
  <c r="G53" i="2"/>
  <c r="G54" i="2"/>
  <c r="F2" i="11"/>
  <c r="L603" i="1"/>
  <c r="L604" i="1" s="1"/>
  <c r="H653" i="1"/>
  <c r="L602" i="1"/>
  <c r="G653" i="1" s="1"/>
  <c r="L601" i="1"/>
  <c r="C40" i="10"/>
  <c r="F52" i="1"/>
  <c r="F104" i="1" s="1"/>
  <c r="G52" i="1"/>
  <c r="H52" i="1"/>
  <c r="E48" i="2" s="1"/>
  <c r="I52" i="1"/>
  <c r="F48" i="2" s="1"/>
  <c r="F55" i="2" s="1"/>
  <c r="F71" i="1"/>
  <c r="C49" i="2" s="1"/>
  <c r="C54" i="2" s="1"/>
  <c r="C55" i="2" s="1"/>
  <c r="F86" i="1"/>
  <c r="F103" i="1"/>
  <c r="H71" i="1"/>
  <c r="H104" i="1" s="1"/>
  <c r="H86" i="1"/>
  <c r="H103" i="1"/>
  <c r="I103" i="1"/>
  <c r="I104" i="1"/>
  <c r="I185" i="1" s="1"/>
  <c r="G620" i="1" s="1"/>
  <c r="J620" i="1" s="1"/>
  <c r="J103" i="1"/>
  <c r="C37" i="10"/>
  <c r="F113" i="1"/>
  <c r="F128" i="1"/>
  <c r="F132" i="1"/>
  <c r="G113" i="1"/>
  <c r="G128" i="1"/>
  <c r="G132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H139" i="1"/>
  <c r="H154" i="1"/>
  <c r="H161" i="1"/>
  <c r="I139" i="1"/>
  <c r="I154" i="1"/>
  <c r="I161" i="1"/>
  <c r="C12" i="10"/>
  <c r="C13" i="10"/>
  <c r="C19" i="10"/>
  <c r="C20" i="10"/>
  <c r="L242" i="1"/>
  <c r="L324" i="1"/>
  <c r="E105" i="2" s="1"/>
  <c r="C23" i="10"/>
  <c r="L246" i="1"/>
  <c r="C24" i="10" s="1"/>
  <c r="C25" i="10"/>
  <c r="L260" i="1"/>
  <c r="L261" i="1"/>
  <c r="L341" i="1"/>
  <c r="L342" i="1"/>
  <c r="C26" i="10"/>
  <c r="I655" i="1"/>
  <c r="I660" i="1"/>
  <c r="F652" i="1"/>
  <c r="I659" i="1"/>
  <c r="C42" i="10"/>
  <c r="L366" i="1"/>
  <c r="L367" i="1"/>
  <c r="L368" i="1"/>
  <c r="F122" i="2" s="1"/>
  <c r="F136" i="2" s="1"/>
  <c r="F137" i="2" s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 s="1"/>
  <c r="L512" i="1"/>
  <c r="F540" i="1"/>
  <c r="L513" i="1"/>
  <c r="F541" i="1"/>
  <c r="K541" i="1" s="1"/>
  <c r="L516" i="1"/>
  <c r="G539" i="1" s="1"/>
  <c r="L517" i="1"/>
  <c r="G540" i="1" s="1"/>
  <c r="K540" i="1" s="1"/>
  <c r="L518" i="1"/>
  <c r="G541" i="1"/>
  <c r="L521" i="1"/>
  <c r="H539" i="1"/>
  <c r="H542" i="1" s="1"/>
  <c r="L522" i="1"/>
  <c r="L524" i="1" s="1"/>
  <c r="H540" i="1"/>
  <c r="L523" i="1"/>
  <c r="H541" i="1"/>
  <c r="L526" i="1"/>
  <c r="I539" i="1" s="1"/>
  <c r="L527" i="1"/>
  <c r="L529" i="1" s="1"/>
  <c r="I540" i="1"/>
  <c r="L528" i="1"/>
  <c r="I541" i="1" s="1"/>
  <c r="L531" i="1"/>
  <c r="J539" i="1"/>
  <c r="J542" i="1" s="1"/>
  <c r="L532" i="1"/>
  <c r="J540" i="1"/>
  <c r="L533" i="1"/>
  <c r="J541" i="1" s="1"/>
  <c r="E124" i="2"/>
  <c r="E123" i="2"/>
  <c r="E136" i="2" s="1"/>
  <c r="K262" i="1"/>
  <c r="J262" i="1"/>
  <c r="I262" i="1"/>
  <c r="H262" i="1"/>
  <c r="G262" i="1"/>
  <c r="F262" i="1"/>
  <c r="C124" i="2"/>
  <c r="C123" i="2"/>
  <c r="A1" i="2"/>
  <c r="A2" i="2"/>
  <c r="C9" i="2"/>
  <c r="D9" i="2"/>
  <c r="D19" i="2" s="1"/>
  <c r="E9" i="2"/>
  <c r="E19" i="2" s="1"/>
  <c r="F9" i="2"/>
  <c r="F19" i="2" s="1"/>
  <c r="I431" i="1"/>
  <c r="J9" i="1" s="1"/>
  <c r="C10" i="2"/>
  <c r="D10" i="2"/>
  <c r="E10" i="2"/>
  <c r="F10" i="2"/>
  <c r="I432" i="1"/>
  <c r="J10" i="1"/>
  <c r="G10" i="2"/>
  <c r="C11" i="2"/>
  <c r="C12" i="2"/>
  <c r="D12" i="2"/>
  <c r="D13" i="2"/>
  <c r="D14" i="2"/>
  <c r="D16" i="2"/>
  <c r="D17" i="2"/>
  <c r="D18" i="2"/>
  <c r="E12" i="2"/>
  <c r="F12" i="2"/>
  <c r="F13" i="2"/>
  <c r="F14" i="2"/>
  <c r="F15" i="2"/>
  <c r="F16" i="2"/>
  <c r="F17" i="2"/>
  <c r="F18" i="2"/>
  <c r="I433" i="1"/>
  <c r="J12" i="1"/>
  <c r="G12" i="2" s="1"/>
  <c r="C13" i="2"/>
  <c r="E13" i="2"/>
  <c r="I434" i="1"/>
  <c r="J13" i="1"/>
  <c r="G13" i="2" s="1"/>
  <c r="C14" i="2"/>
  <c r="E14" i="2"/>
  <c r="I435" i="1"/>
  <c r="J14" i="1" s="1"/>
  <c r="G14" i="2" s="1"/>
  <c r="C16" i="2"/>
  <c r="E16" i="2"/>
  <c r="C17" i="2"/>
  <c r="E17" i="2"/>
  <c r="I436" i="1"/>
  <c r="J17" i="1"/>
  <c r="G17" i="2" s="1"/>
  <c r="C18" i="2"/>
  <c r="E18" i="2"/>
  <c r="I437" i="1"/>
  <c r="J18" i="1" s="1"/>
  <c r="G18" i="2" s="1"/>
  <c r="C19" i="2"/>
  <c r="C22" i="2"/>
  <c r="D22" i="2"/>
  <c r="E22" i="2"/>
  <c r="F22" i="2"/>
  <c r="I440" i="1"/>
  <c r="J23" i="1" s="1"/>
  <c r="C23" i="2"/>
  <c r="D23" i="2"/>
  <c r="D32" i="2" s="1"/>
  <c r="E23" i="2"/>
  <c r="E32" i="2" s="1"/>
  <c r="F23" i="2"/>
  <c r="I441" i="1"/>
  <c r="J24" i="1"/>
  <c r="G23" i="2"/>
  <c r="C24" i="2"/>
  <c r="C32" i="2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F32" i="2" s="1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D43" i="2" s="1"/>
  <c r="E34" i="2"/>
  <c r="F34" i="2"/>
  <c r="C35" i="2"/>
  <c r="D35" i="2"/>
  <c r="E35" i="2"/>
  <c r="E42" i="2" s="1"/>
  <c r="F35" i="2"/>
  <c r="C36" i="2"/>
  <c r="D36" i="2"/>
  <c r="E36" i="2"/>
  <c r="F36" i="2"/>
  <c r="F42" i="2" s="1"/>
  <c r="F43" i="2" s="1"/>
  <c r="I446" i="1"/>
  <c r="J37" i="1"/>
  <c r="G36" i="2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 s="1"/>
  <c r="C40" i="2"/>
  <c r="D40" i="2"/>
  <c r="D41" i="2"/>
  <c r="E40" i="2"/>
  <c r="F40" i="2"/>
  <c r="F41" i="2"/>
  <c r="I449" i="1"/>
  <c r="J41" i="1" s="1"/>
  <c r="G40" i="2" s="1"/>
  <c r="C41" i="2"/>
  <c r="E41" i="2"/>
  <c r="C48" i="2"/>
  <c r="D48" i="2"/>
  <c r="C50" i="2"/>
  <c r="E50" i="2"/>
  <c r="C51" i="2"/>
  <c r="C53" i="2"/>
  <c r="D51" i="2"/>
  <c r="E51" i="2"/>
  <c r="F51" i="2"/>
  <c r="D53" i="2"/>
  <c r="E53" i="2"/>
  <c r="F53" i="2"/>
  <c r="F54" i="2"/>
  <c r="C58" i="2"/>
  <c r="C62" i="2" s="1"/>
  <c r="C59" i="2"/>
  <c r="C61" i="2"/>
  <c r="D61" i="2"/>
  <c r="D62" i="2"/>
  <c r="E61" i="2"/>
  <c r="E62" i="2" s="1"/>
  <c r="F61" i="2"/>
  <c r="F62" i="2"/>
  <c r="G61" i="2"/>
  <c r="G62" i="2"/>
  <c r="G73" i="2" s="1"/>
  <c r="C64" i="2"/>
  <c r="F64" i="2"/>
  <c r="C65" i="2"/>
  <c r="F65" i="2"/>
  <c r="C66" i="2"/>
  <c r="C70" i="2" s="1"/>
  <c r="C73" i="2" s="1"/>
  <c r="C67" i="2"/>
  <c r="C68" i="2"/>
  <c r="E68" i="2"/>
  <c r="F68" i="2"/>
  <c r="C69" i="2"/>
  <c r="C71" i="2"/>
  <c r="C72" i="2"/>
  <c r="D69" i="2"/>
  <c r="E69" i="2"/>
  <c r="E70" i="2"/>
  <c r="F69" i="2"/>
  <c r="F70" i="2" s="1"/>
  <c r="F73" i="2" s="1"/>
  <c r="G69" i="2"/>
  <c r="G70" i="2"/>
  <c r="D70" i="2"/>
  <c r="D73" i="2" s="1"/>
  <c r="D71" i="2"/>
  <c r="E71" i="2"/>
  <c r="E72" i="2"/>
  <c r="C77" i="2"/>
  <c r="C83" i="2" s="1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F83" i="2"/>
  <c r="F85" i="2"/>
  <c r="F95" i="2" s="1"/>
  <c r="F86" i="2"/>
  <c r="F88" i="2"/>
  <c r="F89" i="2"/>
  <c r="F91" i="2"/>
  <c r="F92" i="2"/>
  <c r="F93" i="2"/>
  <c r="F94" i="2"/>
  <c r="C82" i="2"/>
  <c r="E83" i="2"/>
  <c r="C85" i="2"/>
  <c r="C86" i="2"/>
  <c r="D88" i="2"/>
  <c r="E88" i="2"/>
  <c r="G88" i="2"/>
  <c r="C89" i="2"/>
  <c r="C95" i="2" s="1"/>
  <c r="C90" i="2"/>
  <c r="C91" i="2"/>
  <c r="C92" i="2"/>
  <c r="C93" i="2"/>
  <c r="C94" i="2"/>
  <c r="D89" i="2"/>
  <c r="E89" i="2"/>
  <c r="G89" i="2"/>
  <c r="D90" i="2"/>
  <c r="E90" i="2"/>
  <c r="G90" i="2"/>
  <c r="G95" i="2"/>
  <c r="D91" i="2"/>
  <c r="E91" i="2"/>
  <c r="E92" i="2"/>
  <c r="E93" i="2"/>
  <c r="E94" i="2"/>
  <c r="E95" i="2"/>
  <c r="D92" i="2"/>
  <c r="D93" i="2"/>
  <c r="D94" i="2"/>
  <c r="D95" i="2"/>
  <c r="C101" i="2"/>
  <c r="C103" i="2"/>
  <c r="E103" i="2"/>
  <c r="C104" i="2"/>
  <c r="E104" i="2"/>
  <c r="C105" i="2"/>
  <c r="E106" i="2"/>
  <c r="D107" i="2"/>
  <c r="F107" i="2"/>
  <c r="G107" i="2"/>
  <c r="E110" i="2"/>
  <c r="E120" i="2" s="1"/>
  <c r="C111" i="2"/>
  <c r="E111" i="2"/>
  <c r="E113" i="2"/>
  <c r="C114" i="2"/>
  <c r="E114" i="2"/>
  <c r="E115" i="2"/>
  <c r="C116" i="2"/>
  <c r="C117" i="2"/>
  <c r="F120" i="2"/>
  <c r="G120" i="2"/>
  <c r="G137" i="2" s="1"/>
  <c r="E122" i="2"/>
  <c r="D126" i="2"/>
  <c r="D136" i="2"/>
  <c r="E126" i="2"/>
  <c r="F126" i="2"/>
  <c r="K411" i="1"/>
  <c r="K419" i="1"/>
  <c r="K425" i="1"/>
  <c r="K426" i="1"/>
  <c r="G126" i="2"/>
  <c r="G136" i="2" s="1"/>
  <c r="L255" i="1"/>
  <c r="C127" i="2" s="1"/>
  <c r="L256" i="1"/>
  <c r="C128" i="2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153" i="2" s="1"/>
  <c r="G490" i="1"/>
  <c r="C153" i="2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B156" i="2"/>
  <c r="G493" i="1"/>
  <c r="C156" i="2" s="1"/>
  <c r="H493" i="1"/>
  <c r="D156" i="2"/>
  <c r="E156" i="2"/>
  <c r="F156" i="2"/>
  <c r="I493" i="1"/>
  <c r="J493" i="1"/>
  <c r="G19" i="1"/>
  <c r="G608" i="1" s="1"/>
  <c r="J608" i="1" s="1"/>
  <c r="H19" i="1"/>
  <c r="G609" i="1" s="1"/>
  <c r="J609" i="1" s="1"/>
  <c r="I19" i="1"/>
  <c r="F33" i="1"/>
  <c r="G33" i="1"/>
  <c r="G44" i="1" s="1"/>
  <c r="H608" i="1" s="1"/>
  <c r="H33" i="1"/>
  <c r="H44" i="1" s="1"/>
  <c r="H609" i="1" s="1"/>
  <c r="I33" i="1"/>
  <c r="F43" i="1"/>
  <c r="F44" i="1" s="1"/>
  <c r="H607" i="1" s="1"/>
  <c r="G43" i="1"/>
  <c r="H43" i="1"/>
  <c r="I43" i="1"/>
  <c r="I44" i="1" s="1"/>
  <c r="H610" i="1" s="1"/>
  <c r="J610" i="1" s="1"/>
  <c r="F169" i="1"/>
  <c r="I169" i="1"/>
  <c r="I184" i="1" s="1"/>
  <c r="F175" i="1"/>
  <c r="G175" i="1"/>
  <c r="H175" i="1"/>
  <c r="I175" i="1"/>
  <c r="J175" i="1"/>
  <c r="G635" i="1" s="1"/>
  <c r="F180" i="1"/>
  <c r="G180" i="1"/>
  <c r="H180" i="1"/>
  <c r="I180" i="1"/>
  <c r="F184" i="1"/>
  <c r="G184" i="1"/>
  <c r="H184" i="1"/>
  <c r="F203" i="1"/>
  <c r="G203" i="1"/>
  <c r="G249" i="1" s="1"/>
  <c r="G263" i="1" s="1"/>
  <c r="H203" i="1"/>
  <c r="I203" i="1"/>
  <c r="J203" i="1"/>
  <c r="K203" i="1"/>
  <c r="F221" i="1"/>
  <c r="G221" i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F263" i="1" s="1"/>
  <c r="I249" i="1"/>
  <c r="I263" i="1" s="1"/>
  <c r="J249" i="1"/>
  <c r="L262" i="1"/>
  <c r="J263" i="1"/>
  <c r="F282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I393" i="1"/>
  <c r="F399" i="1"/>
  <c r="G399" i="1"/>
  <c r="H399" i="1"/>
  <c r="H400" i="1" s="1"/>
  <c r="H634" i="1" s="1"/>
  <c r="I399" i="1"/>
  <c r="I400" i="1"/>
  <c r="L405" i="1"/>
  <c r="L406" i="1"/>
  <c r="L407" i="1"/>
  <c r="L408" i="1"/>
  <c r="L409" i="1"/>
  <c r="L410" i="1"/>
  <c r="F411" i="1"/>
  <c r="G411" i="1"/>
  <c r="H411" i="1"/>
  <c r="I411" i="1"/>
  <c r="I426" i="1" s="1"/>
  <c r="J411" i="1"/>
  <c r="J426" i="1" s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5" i="1" s="1"/>
  <c r="L424" i="1"/>
  <c r="F425" i="1"/>
  <c r="G425" i="1"/>
  <c r="H425" i="1"/>
  <c r="H426" i="1" s="1"/>
  <c r="I425" i="1"/>
  <c r="J425" i="1"/>
  <c r="F426" i="1"/>
  <c r="G426" i="1"/>
  <c r="F438" i="1"/>
  <c r="G629" i="1" s="1"/>
  <c r="J629" i="1" s="1"/>
  <c r="G438" i="1"/>
  <c r="H438" i="1"/>
  <c r="G631" i="1" s="1"/>
  <c r="F444" i="1"/>
  <c r="G444" i="1"/>
  <c r="H444" i="1"/>
  <c r="H451" i="1" s="1"/>
  <c r="H631" i="1" s="1"/>
  <c r="I444" i="1"/>
  <c r="I451" i="1" s="1"/>
  <c r="H632" i="1" s="1"/>
  <c r="F450" i="1"/>
  <c r="G450" i="1"/>
  <c r="H450" i="1"/>
  <c r="I450" i="1"/>
  <c r="F451" i="1"/>
  <c r="H629" i="1" s="1"/>
  <c r="G451" i="1"/>
  <c r="I460" i="1"/>
  <c r="I466" i="1" s="1"/>
  <c r="H615" i="1" s="1"/>
  <c r="J460" i="1"/>
  <c r="J466" i="1" s="1"/>
  <c r="H616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H514" i="1"/>
  <c r="I514" i="1"/>
  <c r="I535" i="1" s="1"/>
  <c r="J514" i="1"/>
  <c r="J535" i="1" s="1"/>
  <c r="K514" i="1"/>
  <c r="K535" i="1" s="1"/>
  <c r="F519" i="1"/>
  <c r="G519" i="1"/>
  <c r="H519" i="1"/>
  <c r="H535" i="1" s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L550" i="1" s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F561" i="1" s="1"/>
  <c r="G560" i="1"/>
  <c r="H560" i="1"/>
  <c r="I560" i="1"/>
  <c r="J560" i="1"/>
  <c r="K560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640" i="1" s="1"/>
  <c r="J588" i="1"/>
  <c r="H641" i="1" s="1"/>
  <c r="K592" i="1"/>
  <c r="K593" i="1"/>
  <c r="I595" i="1"/>
  <c r="J595" i="1"/>
  <c r="F604" i="1"/>
  <c r="G604" i="1"/>
  <c r="H604" i="1"/>
  <c r="I604" i="1"/>
  <c r="J604" i="1"/>
  <c r="K604" i="1"/>
  <c r="G610" i="1"/>
  <c r="G612" i="1"/>
  <c r="G613" i="1"/>
  <c r="G614" i="1"/>
  <c r="H620" i="1"/>
  <c r="H621" i="1"/>
  <c r="G624" i="1"/>
  <c r="H626" i="1"/>
  <c r="H627" i="1"/>
  <c r="H628" i="1"/>
  <c r="G630" i="1"/>
  <c r="J630" i="1" s="1"/>
  <c r="H630" i="1"/>
  <c r="G633" i="1"/>
  <c r="G634" i="1"/>
  <c r="G639" i="1"/>
  <c r="H639" i="1"/>
  <c r="J639" i="1"/>
  <c r="G640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H249" i="1"/>
  <c r="H263" i="1" s="1"/>
  <c r="C5" i="10"/>
  <c r="C6" i="10"/>
  <c r="J19" i="1" l="1"/>
  <c r="G611" i="1" s="1"/>
  <c r="G9" i="2"/>
  <c r="G19" i="2" s="1"/>
  <c r="E137" i="2"/>
  <c r="L249" i="1"/>
  <c r="L263" i="1" s="1"/>
  <c r="J33" i="1"/>
  <c r="G22" i="2"/>
  <c r="G32" i="2" s="1"/>
  <c r="I542" i="1"/>
  <c r="F185" i="1"/>
  <c r="J631" i="1"/>
  <c r="G33" i="13"/>
  <c r="F542" i="1"/>
  <c r="K539" i="1"/>
  <c r="K542" i="1" s="1"/>
  <c r="J634" i="1"/>
  <c r="L426" i="1"/>
  <c r="G628" i="1" s="1"/>
  <c r="J628" i="1" s="1"/>
  <c r="J635" i="1"/>
  <c r="E43" i="2"/>
  <c r="C130" i="2"/>
  <c r="C133" i="2" s="1"/>
  <c r="L400" i="1"/>
  <c r="C136" i="2"/>
  <c r="E33" i="13"/>
  <c r="D35" i="13" s="1"/>
  <c r="C8" i="13"/>
  <c r="C5" i="13"/>
  <c r="J633" i="1"/>
  <c r="L561" i="1"/>
  <c r="G156" i="2"/>
  <c r="D54" i="2"/>
  <c r="D55" i="2" s="1"/>
  <c r="D96" i="2" s="1"/>
  <c r="H185" i="1"/>
  <c r="J607" i="1"/>
  <c r="G462" i="1"/>
  <c r="C27" i="10"/>
  <c r="G625" i="1"/>
  <c r="H650" i="1"/>
  <c r="G650" i="1"/>
  <c r="C38" i="10"/>
  <c r="C96" i="2"/>
  <c r="C107" i="2"/>
  <c r="C137" i="2" s="1"/>
  <c r="J43" i="1"/>
  <c r="G39" i="2"/>
  <c r="G42" i="2"/>
  <c r="F96" i="2"/>
  <c r="E73" i="2"/>
  <c r="C43" i="2"/>
  <c r="G542" i="1"/>
  <c r="G96" i="2"/>
  <c r="E49" i="2"/>
  <c r="E54" i="2" s="1"/>
  <c r="E55" i="2" s="1"/>
  <c r="E96" i="2" s="1"/>
  <c r="G615" i="1"/>
  <c r="J615" i="1" s="1"/>
  <c r="K330" i="1"/>
  <c r="K344" i="1" s="1"/>
  <c r="C113" i="2"/>
  <c r="C106" i="2"/>
  <c r="H651" i="1"/>
  <c r="C18" i="10"/>
  <c r="G103" i="1"/>
  <c r="G104" i="1" s="1"/>
  <c r="G185" i="1" s="1"/>
  <c r="H25" i="13"/>
  <c r="K490" i="1"/>
  <c r="H637" i="1"/>
  <c r="J637" i="1" s="1"/>
  <c r="J330" i="1"/>
  <c r="J184" i="1"/>
  <c r="G651" i="1"/>
  <c r="I651" i="1" s="1"/>
  <c r="C17" i="10"/>
  <c r="G161" i="1"/>
  <c r="C39" i="10" s="1"/>
  <c r="D6" i="13"/>
  <c r="C6" i="13" s="1"/>
  <c r="G641" i="1"/>
  <c r="J641" i="1" s="1"/>
  <c r="L519" i="1"/>
  <c r="I438" i="1"/>
  <c r="G632" i="1" s="1"/>
  <c r="J632" i="1" s="1"/>
  <c r="D119" i="2"/>
  <c r="D120" i="2" s="1"/>
  <c r="D137" i="2" s="1"/>
  <c r="C112" i="2"/>
  <c r="C16" i="10"/>
  <c r="L374" i="1"/>
  <c r="G626" i="1" s="1"/>
  <c r="J626" i="1" s="1"/>
  <c r="F330" i="1"/>
  <c r="F344" i="1" s="1"/>
  <c r="J104" i="1"/>
  <c r="C11" i="10"/>
  <c r="C10" i="10"/>
  <c r="C110" i="2"/>
  <c r="C120" i="2" s="1"/>
  <c r="C29" i="10"/>
  <c r="F33" i="13"/>
  <c r="G652" i="1"/>
  <c r="I652" i="1" s="1"/>
  <c r="F22" i="13"/>
  <c r="C22" i="13" s="1"/>
  <c r="L282" i="1"/>
  <c r="F650" i="1" s="1"/>
  <c r="L514" i="1"/>
  <c r="I650" i="1" l="1"/>
  <c r="H654" i="1"/>
  <c r="J625" i="1"/>
  <c r="D33" i="13"/>
  <c r="D36" i="13" s="1"/>
  <c r="F462" i="1"/>
  <c r="G622" i="1"/>
  <c r="G618" i="1"/>
  <c r="G458" i="1"/>
  <c r="C28" i="10"/>
  <c r="D10" i="10"/>
  <c r="G43" i="2"/>
  <c r="G654" i="1"/>
  <c r="D11" i="10"/>
  <c r="D17" i="10"/>
  <c r="G464" i="1"/>
  <c r="H625" i="1"/>
  <c r="J185" i="1"/>
  <c r="G616" i="1"/>
  <c r="J616" i="1" s="1"/>
  <c r="J44" i="1"/>
  <c r="H611" i="1" s="1"/>
  <c r="J611" i="1" s="1"/>
  <c r="H638" i="1"/>
  <c r="J344" i="1"/>
  <c r="H594" i="1" s="1"/>
  <c r="H458" i="1"/>
  <c r="G619" i="1"/>
  <c r="L330" i="1"/>
  <c r="L344" i="1" s="1"/>
  <c r="D31" i="13"/>
  <c r="C31" i="13" s="1"/>
  <c r="C36" i="10"/>
  <c r="L535" i="1"/>
  <c r="G627" i="1"/>
  <c r="J627" i="1" s="1"/>
  <c r="H636" i="1"/>
  <c r="C25" i="13"/>
  <c r="H33" i="13"/>
  <c r="F458" i="1"/>
  <c r="G617" i="1"/>
  <c r="C30" i="10" l="1"/>
  <c r="D22" i="10"/>
  <c r="D13" i="10"/>
  <c r="D12" i="10"/>
  <c r="D19" i="10"/>
  <c r="D24" i="10"/>
  <c r="D23" i="10"/>
  <c r="D26" i="10"/>
  <c r="D15" i="10"/>
  <c r="D21" i="10"/>
  <c r="D25" i="10"/>
  <c r="D20" i="10"/>
  <c r="D28" i="10" s="1"/>
  <c r="G621" i="1"/>
  <c r="G636" i="1"/>
  <c r="J636" i="1" s="1"/>
  <c r="D36" i="10"/>
  <c r="C41" i="10"/>
  <c r="H618" i="1"/>
  <c r="J618" i="1" s="1"/>
  <c r="G460" i="1"/>
  <c r="G466" i="1" s="1"/>
  <c r="H613" i="1" s="1"/>
  <c r="J613" i="1" s="1"/>
  <c r="F464" i="1"/>
  <c r="H622" i="1"/>
  <c r="J622" i="1" s="1"/>
  <c r="H462" i="1"/>
  <c r="G623" i="1"/>
  <c r="H662" i="1"/>
  <c r="H657" i="1"/>
  <c r="K594" i="1"/>
  <c r="K595" i="1" s="1"/>
  <c r="G638" i="1" s="1"/>
  <c r="J638" i="1" s="1"/>
  <c r="H595" i="1"/>
  <c r="F653" i="1"/>
  <c r="D27" i="10"/>
  <c r="J617" i="1"/>
  <c r="H619" i="1"/>
  <c r="J619" i="1" s="1"/>
  <c r="H460" i="1"/>
  <c r="G662" i="1"/>
  <c r="G657" i="1"/>
  <c r="H617" i="1"/>
  <c r="F460" i="1"/>
  <c r="D16" i="10"/>
  <c r="D18" i="10"/>
  <c r="H464" i="1" l="1"/>
  <c r="H623" i="1"/>
  <c r="H466" i="1"/>
  <c r="H614" i="1" s="1"/>
  <c r="J614" i="1" s="1"/>
  <c r="D37" i="10"/>
  <c r="D35" i="10"/>
  <c r="D40" i="10"/>
  <c r="D39" i="10"/>
  <c r="D38" i="10"/>
  <c r="I653" i="1"/>
  <c r="I654" i="1" s="1"/>
  <c r="F654" i="1"/>
  <c r="F466" i="1"/>
  <c r="H612" i="1" s="1"/>
  <c r="J612" i="1" s="1"/>
  <c r="J623" i="1"/>
  <c r="J621" i="1"/>
  <c r="I662" i="1" l="1"/>
  <c r="C7" i="10" s="1"/>
  <c r="I657" i="1"/>
  <c r="F662" i="1"/>
  <c r="C4" i="10" s="1"/>
  <c r="F657" i="1"/>
  <c r="H646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CF23C71-31F7-4507-AFEA-304194D5B5B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BC47B5B-7FF1-47B2-BD5C-0C2CF738E60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9FBCBED-269A-4F0B-A0B5-E5A183C163D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92C8B09-ECF4-4E86-8E3B-144AACD7A3F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E86E37A-7F34-4772-A32D-3CE1F7C0173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EAAD8B2-1FF3-4352-90B0-CF21434895E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8C16876-70BC-4A35-82A9-0523017AF58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C356783-98EB-4C6D-8F16-4C957317F6F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610D702-2202-40E0-86D6-6CACD9FF29C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8E96651-AD53-47D8-BF71-E0380B77D75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7EBB514-688D-45A9-8E42-8C6D9CA5BE1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D9FB6F5-2BA1-410E-A7DB-344E1874334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<sst xmlns="http://schemas.openxmlformats.org/spreadsheetml/2006/main" count="3862" uniqueCount="899">
  <si>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</si>
  <si>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</si>
  <si>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</si>
  <si>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</si>
  <si>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</si>
  <si>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</si>
  <si>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</si>
  <si>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</si>
  <si>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</si>
  <si>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</si>
  <si>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</si>
  <si>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</si>
  <si>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</si>
  <si>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</si>
  <si>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</si>
  <si>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</si>
  <si>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</si>
  <si>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</si>
  <si>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</si>
  <si>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</si>
  <si>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</si>
  <si>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</si>
  <si>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</si>
  <si>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</si>
  <si>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</si>
  <si>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</si>
  <si>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</si>
  <si>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</si>
  <si>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</si>
  <si>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</si>
  <si>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</si>
  <si>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</si>
  <si>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</si>
  <si>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</si>
  <si>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</si>
  <si>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</si>
  <si>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</si>
  <si>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</si>
  <si>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</si>
  <si>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</si>
  <si>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</si>
  <si>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</si>
  <si>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</si>
  <si>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</si>
  <si>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</si>
  <si>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</si>
  <si>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</si>
  <si>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</si>
  <si>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</si>
  <si>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</si>
  <si>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</si>
  <si>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</si>
  <si>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</si>
  <si>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</si>
  <si>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</si>
  <si>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</si>
  <si>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</si>
  <si>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</si>
  <si>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</si>
  <si>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</si>
  <si>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</si>
  <si>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</si>
  <si>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</si>
  <si>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</si>
  <si>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</si>
  <si>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</si>
  <si>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</si>
  <si>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</si>
  <si>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</si>
  <si>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</si>
  <si>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</si>
  <si>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</si>
  <si>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</si>
  <si>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</si>
  <si>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</si>
  <si>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</si>
  <si>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</si>
  <si>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</si>
  <si>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</si>
  <si>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</si>
  <si>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</si>
  <si>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</si>
  <si>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</si>
  <si>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</si>
  <si>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</si>
  <si>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</si>
  <si>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</si>
  <si>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</si>
  <si>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</si>
  <si>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</si>
  <si>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</si>
  <si>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</si>
  <si>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</si>
  <si>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</si>
  <si>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</si>
  <si>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</si>
  <si>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</si>
  <si>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</si>
  <si>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</si>
  <si>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</si>
  <si>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</si>
  <si>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</si>
  <si>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</si>
  <si>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</si>
  <si>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</si>
  <si>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</si>
  <si>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</si>
  <si>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</si>
  <si>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</si>
  <si>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</si>
  <si>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</si>
  <si>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</si>
  <si>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</si>
  <si>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</si>
  <si>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</si>
  <si>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</si>
  <si>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</si>
  <si>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</si>
  <si>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</si>
  <si>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</si>
  <si>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</si>
  <si>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</si>
  <si>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</si>
  <si>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</si>
  <si>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</si>
  <si>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</si>
  <si>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</si>
  <si>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</si>
  <si>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</si>
  <si>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</si>
  <si>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</si>
  <si>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</si>
  <si>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</si>
  <si>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</si>
  <si>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</si>
  <si>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</si>
  <si>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</si>
  <si>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</si>
  <si>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</si>
  <si>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</si>
  <si>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</si>
  <si>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</si>
  <si>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</si>
  <si>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</si>
  <si>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</si>
  <si>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</si>
  <si>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</si>
  <si>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</si>
  <si>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</si>
  <si>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</si>
  <si>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</si>
  <si>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</si>
  <si>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</si>
  <si>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</si>
  <si>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</si>
  <si>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</si>
  <si>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</si>
  <si>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</si>
  <si>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</si>
  <si>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</si>
  <si>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</si>
  <si>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</si>
  <si>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</si>
  <si>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</si>
  <si>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</si>
  <si>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</si>
  <si>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</si>
  <si>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</si>
  <si>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</si>
  <si>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</si>
  <si>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</si>
  <si>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</si>
  <si>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</si>
  <si>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</si>
  <si>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</si>
  <si>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</si>
  <si>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</si>
  <si>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</si>
  <si>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</si>
  <si>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</si>
  <si>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</si>
  <si>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</si>
  <si>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</si>
  <si>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</si>
  <si>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</si>
  <si>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</si>
  <si>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</si>
  <si>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</si>
  <si>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</si>
  <si>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</si>
  <si>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</si>
  <si>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</si>
  <si>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</si>
  <si>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</si>
  <si>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</si>
  <si>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</si>
  <si>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</si>
  <si>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</si>
  <si>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</si>
  <si>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</si>
  <si>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</si>
  <si>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</si>
  <si>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</si>
  <si>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</si>
  <si>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</si>
  <si>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</si>
  <si>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</si>
  <si>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</si>
  <si>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</si>
  <si>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</si>
  <si>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</si>
  <si>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</si>
  <si>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</si>
  <si>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</si>
  <si>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</si>
  <si>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</si>
  <si>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</si>
  <si>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</si>
  <si>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</si>
  <si>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</si>
  <si>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</si>
  <si>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</si>
  <si>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</si>
  <si>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</si>
  <si>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</si>
  <si>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</si>
  <si>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</si>
  <si>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</si>
  <si>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</si>
  <si>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</si>
  <si>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</si>
  <si>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</si>
  <si>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</si>
  <si>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</si>
  <si>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</si>
  <si>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</si>
  <si>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</si>
  <si>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</si>
  <si>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</si>
  <si>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</si>
  <si>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</si>
  <si>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</si>
  <si>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</si>
  <si>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</si>
  <si>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</si>
  <si>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</si>
  <si>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</si>
  <si>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</si>
  <si>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</si>
  <si>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</si>
  <si>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</si>
  <si>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</si>
  <si>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</si>
  <si>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</si>
  <si>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</si>
  <si>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</si>
  <si>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</si>
  <si>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</si>
  <si>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</si>
  <si>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</si>
  <si>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</si>
  <si>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</si>
  <si>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</si>
  <si>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</si>
  <si>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</si>
  <si>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</si>
  <si>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</si>
  <si>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</si>
  <si>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</si>
  <si>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</si>
  <si>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</si>
  <si>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</si>
  <si>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</si>
  <si>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</si>
  <si>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</si>
  <si>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</si>
  <si>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</si>
  <si>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</si>
  <si>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</si>
  <si>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</si>
  <si>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</si>
  <si>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</si>
  <si>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</si>
  <si>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</si>
  <si>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</si>
  <si>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</si>
  <si>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</si>
  <si>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</si>
  <si>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</si>
  <si>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</si>
  <si>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</si>
  <si>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</si>
  <si>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</si>
  <si>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</si>
  <si>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</si>
  <si>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</si>
  <si>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</si>
  <si>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</si>
  <si>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</si>
  <si>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</si>
  <si>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</si>
  <si>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</si>
  <si>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</si>
  <si>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</si>
  <si>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</si>
  <si>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</si>
  <si>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</si>
  <si>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</si>
  <si>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</si>
  <si>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</si>
  <si>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</si>
  <si>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</si>
  <si>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</si>
  <si>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</si>
  <si>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</si>
  <si>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</si>
  <si>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</si>
  <si>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</si>
  <si>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</si>
  <si>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</si>
  <si>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</si>
  <si>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</si>
  <si>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</si>
  <si>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</si>
  <si>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</si>
  <si>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</si>
  <si>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</si>
  <si>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</si>
  <si>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</si>
  <si>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</si>
  <si>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</si>
  <si>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</si>
  <si>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</si>
  <si>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</si>
  <si>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</si>
  <si>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</si>
  <si>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</si>
  <si>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</si>
  <si>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</si>
  <si>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</si>
  <si>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</si>
  <si>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</si>
  <si>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</si>
  <si>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</si>
  <si>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</si>
  <si>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</si>
  <si>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</si>
  <si>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</si>
  <si>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</si>
  <si>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</si>
  <si>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</si>
  <si>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</si>
  <si>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</si>
  <si>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</si>
  <si>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</si>
  <si>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</si>
  <si>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</si>
  <si>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</si>
  <si>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</si>
  <si>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</si>
  <si>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</si>
  <si>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</si>
  <si>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</si>
  <si>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</si>
  <si>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</si>
  <si>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</si>
  <si>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</si>
  <si>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</si>
  <si>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</si>
  <si>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</si>
  <si>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</si>
  <si>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</si>
  <si>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</si>
  <si>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</si>
  <si>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</si>
  <si>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</si>
  <si>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</si>
  <si>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</si>
  <si>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</si>
  <si>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</si>
  <si>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</si>
  <si>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</si>
  <si>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</si>
  <si>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</si>
  <si>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</si>
  <si>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</si>
  <si>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</si>
  <si>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</si>
  <si>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</si>
  <si>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</si>
  <si>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</si>
  <si>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</si>
  <si>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</si>
  <si>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</si>
  <si>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</si>
  <si>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</si>
  <si>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</si>
  <si>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</si>
  <si>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</si>
  <si>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</si>
  <si>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</si>
  <si>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</si>
  <si>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</si>
  <si>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</si>
  <si>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</si>
  <si>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</si>
  <si>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</si>
  <si>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</si>
  <si>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</si>
  <si>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</si>
  <si>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</si>
  <si>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</si>
  <si>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</si>
  <si>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</si>
  <si>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</si>
  <si>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</si>
  <si>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</si>
  <si>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</si>
  <si>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</si>
  <si>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</si>
  <si>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</si>
  <si>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</si>
  <si>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</si>
  <si>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</si>
  <si>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</si>
  <si>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</si>
  <si>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</si>
  <si>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</si>
  <si>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</si>
  <si>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</si>
  <si>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</si>
  <si>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</si>
  <si>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</si>
  <si>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</si>
  <si>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</si>
  <si>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</si>
  <si>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</si>
  <si>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</si>
  <si>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</si>
  <si>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</si>
  <si>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</si>
  <si>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</si>
  <si>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</si>
  <si>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</si>
  <si>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</si>
  <si>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</si>
  <si>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</si>
  <si>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</si>
  <si>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</si>
  <si>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</si>
  <si>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</si>
  <si>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</si>
  <si>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</si>
  <si>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</si>
  <si>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</si>
  <si>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</si>
  <si>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</si>
  <si>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</si>
  <si>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</si>
  <si>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</si>
  <si>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</si>
  <si>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</si>
  <si>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</si>
  <si>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</si>
  <si>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</si>
  <si>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</si>
  <si>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</si>
  <si>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</si>
  <si>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</si>
  <si>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</si>
  <si>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</si>
  <si>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</si>
  <si>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</si>
  <si>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</si>
  <si>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</si>
  <si>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</si>
  <si>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</si>
  <si>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</si>
  <si>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</si>
  <si>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</si>
  <si>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</si>
  <si>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</si>
  <si>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</si>
  <si>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</si>
  <si>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</si>
  <si>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</si>
  <si>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</si>
  <si>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</si>
  <si>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</si>
  <si>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</si>
  <si>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</si>
  <si>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</si>
  <si>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</si>
  <si>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</si>
  <si>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</si>
  <si>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</si>
  <si>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</si>
  <si>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</si>
  <si>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</si>
  <si>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</si>
  <si>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</si>
  <si>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</si>
  <si>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</si>
  <si>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</si>
  <si>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</si>
  <si>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</si>
  <si>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</si>
  <si>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</si>
  <si>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</si>
  <si>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</si>
  <si>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</si>
  <si>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</si>
  <si>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</si>
  <si>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</si>
  <si>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</si>
  <si>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</si>
  <si>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</si>
  <si>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</si>
  <si>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</si>
  <si>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</si>
  <si>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</si>
  <si>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</si>
  <si>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</si>
  <si>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</si>
  <si>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</si>
  <si>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</si>
  <si>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</si>
  <si>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</si>
  <si>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</si>
  <si>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</si>
  <si>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</si>
  <si>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</si>
  <si>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</si>
  <si>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</si>
  <si>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</si>
  <si>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</si>
  <si>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</si>
  <si>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</si>
  <si>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</si>
  <si>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</si>
  <si>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</si>
  <si>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</si>
  <si>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</si>
  <si>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</si>
  <si>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</si>
  <si>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</si>
  <si>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</si>
  <si>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</si>
  <si>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</si>
  <si>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</si>
  <si>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</si>
  <si>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</si>
  <si>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</si>
  <si>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</si>
  <si>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</si>
  <si>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</si>
  <si>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</si>
  <si>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</si>
  <si>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</si>
  <si>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</si>
  <si>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</si>
  <si>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</si>
  <si>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</si>
  <si>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</si>
  <si>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</si>
  <si>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</si>
  <si>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</si>
  <si>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</si>
  <si>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</si>
  <si>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</si>
  <si>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</si>
  <si>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</si>
  <si>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</si>
  <si>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</si>
  <si>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</si>
  <si>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</si>
  <si>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</si>
  <si>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</si>
  <si>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</si>
  <si>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</si>
  <si>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</si>
  <si>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</si>
  <si>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</si>
  <si>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</si>
  <si>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</si>
  <si>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</si>
  <si>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</si>
  <si>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</si>
  <si>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</si>
  <si>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</si>
  <si>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</si>
  <si>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</si>
  <si>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</si>
  <si>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</si>
  <si>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</si>
  <si>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</si>
  <si>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</si>
  <si>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</si>
  <si>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</si>
  <si>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</si>
  <si>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</si>
  <si>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</si>
  <si>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</si>
  <si>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</si>
  <si>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</si>
  <si>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</si>
  <si>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</si>
  <si>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</si>
  <si>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</si>
  <si>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</si>
  <si>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</si>
  <si>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</si>
  <si>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</si>
  <si>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</si>
  <si>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</si>
  <si>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</si>
  <si>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</si>
  <si>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</si>
  <si>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</si>
  <si>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</si>
  <si>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</si>
  <si>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</si>
  <si>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</si>
  <si>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</si>
  <si>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</si>
  <si>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</si>
  <si>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</si>
  <si>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</si>
  <si>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</si>
  <si>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</si>
  <si>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</si>
  <si>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</si>
  <si>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</si>
  <si>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</si>
  <si>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</si>
  <si>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</si>
  <si>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</si>
  <si>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</si>
  <si>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</si>
  <si>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</si>
  <si>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</si>
  <si>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</si>
  <si>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</si>
  <si>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</si>
  <si>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</si>
  <si>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</si>
  <si>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</si>
  <si>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</si>
  <si>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</si>
  <si>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</si>
  <si>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</si>
  <si>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</si>
  <si>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</si>
  <si>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</si>
  <si>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</si>
  <si>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</si>
  <si>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</si>
  <si>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</si>
  <si>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</si>
  <si>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</si>
  <si>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</si>
  <si>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</si>
  <si>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</si>
  <si>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</si>
  <si>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</si>
  <si>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</si>
  <si>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</si>
  <si>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</si>
  <si>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</si>
  <si>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</si>
  <si>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</si>
  <si>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</si>
  <si>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</si>
  <si>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</si>
  <si>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</si>
  <si>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</si>
  <si>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</si>
  <si>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</si>
  <si>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</si>
  <si>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</si>
  <si>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</si>
  <si>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</si>
  <si>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</si>
  <si>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</si>
  <si>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</si>
  <si>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</si>
  <si>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</si>
  <si>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</si>
  <si>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</si>
  <si>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</si>
  <si>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</si>
  <si>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</si>
  <si>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</si>
  <si>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</si>
  <si>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</si>
  <si>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</si>
  <si>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</si>
  <si>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</si>
  <si>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</si>
  <si>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</si>
  <si>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</si>
  <si>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</si>
  <si>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</si>
  <si>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</si>
  <si>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</si>
  <si>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</si>
  <si>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</si>
  <si>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</si>
  <si>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</si>
  <si>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</si>
  <si>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</si>
  <si>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</si>
  <si>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</si>
  <si>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</si>
  <si>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</si>
  <si>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</si>
  <si>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</si>
  <si>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</si>
  <si>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</si>
  <si>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</si>
  <si>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</si>
  <si>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</si>
  <si>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</si>
  <si>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</si>
  <si>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</si>
  <si>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</si>
  <si>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</si>
  <si>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</si>
  <si>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</si>
  <si>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</si>
  <si>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</si>
  <si>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</si>
  <si>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</si>
  <si>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</si>
  <si>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</si>
  <si>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</si>
  <si>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</si>
  <si>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</si>
  <si>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</si>
  <si>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</si>
  <si>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</si>
  <si>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</si>
  <si>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</si>
  <si>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</si>
  <si>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</si>
  <si>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</si>
  <si>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</si>
  <si>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</si>
  <si>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</si>
  <si>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</si>
  <si>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</si>
  <si>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</si>
  <si>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</si>
  <si>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</si>
  <si>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</si>
  <si>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</si>
  <si>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</si>
  <si>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</si>
  <si>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</si>
  <si>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</si>
  <si>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</si>
  <si>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</si>
  <si>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</si>
  <si>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</si>
  <si>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</si>
  <si>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</si>
  <si>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</si>
  <si>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</si>
  <si>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</si>
  <si>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</si>
  <si>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</si>
  <si>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</si>
  <si>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</si>
  <si>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</si>
  <si>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</si>
  <si>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</si>
  <si>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</si>
  <si>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</si>
  <si>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</si>
  <si>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</si>
  <si>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</si>
  <si>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</si>
  <si>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</si>
  <si>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</si>
  <si>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</si>
  <si>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</si>
  <si>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</si>
  <si>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</si>
  <si>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</si>
  <si>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</si>
  <si>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</si>
  <si>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</si>
  <si>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</si>
  <si>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</si>
  <si>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</si>
  <si>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</si>
  <si>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</si>
  <si>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</si>
  <si>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</si>
  <si>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</si>
  <si>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</si>
  <si>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</si>
  <si>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</si>
  <si>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</si>
  <si>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</si>
  <si>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</si>
  <si>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</si>
  <si>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</si>
  <si>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</si>
  <si>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</si>
  <si>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</si>
  <si>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</si>
  <si>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</si>
  <si>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</si>
  <si>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</si>
  <si>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</si>
  <si>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</si>
  <si>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</si>
  <si>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</si>
  <si>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</si>
  <si>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</si>
  <si>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</si>
  <si>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</si>
  <si>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</si>
  <si>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</si>
  <si>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</si>
  <si>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</si>
  <si>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</si>
  <si>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</si>
  <si>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</si>
  <si>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</si>
  <si>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</si>
  <si>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</si>
  <si>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</si>
  <si>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</si>
  <si>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</si>
  <si>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</si>
  <si>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</si>
  <si>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</si>
  <si>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</si>
  <si>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</si>
  <si>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</si>
  <si>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</si>
  <si>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</si>
  <si>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</si>
  <si>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</si>
  <si>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</si>
  <si>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</si>
  <si>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</si>
  <si>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</si>
  <si>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</si>
  <si>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</si>
  <si>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</si>
  <si>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</si>
  <si>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</si>
  <si>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</si>
  <si>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</si>
  <si>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</si>
  <si>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</si>
  <si>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</si>
  <si>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</si>
  <si>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</si>
  <si>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</si>
  <si>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</si>
  <si>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</si>
  <si>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</si>
  <si>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</si>
  <si>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</si>
  <si>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</si>
  <si>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</si>
  <si>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</si>
  <si>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</si>
  <si>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</si>
  <si>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</si>
  <si>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</si>
  <si>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</si>
  <si>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</si>
  <si>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</si>
  <si>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</si>
  <si>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</si>
  <si>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</si>
  <si>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</si>
  <si>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</si>
  <si>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</si>
  <si>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</si>
  <si>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</si>
  <si>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</si>
  <si>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</si>
  <si>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</si>
  <si>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</si>
  <si>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</si>
  <si>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</si>
  <si>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</si>
  <si>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</si>
  <si>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07/99</t>
  </si>
  <si>
    <t>08/09</t>
  </si>
  <si>
    <t>Transfer from General Fund</t>
  </si>
  <si>
    <t>New Boston SD</t>
  </si>
  <si>
    <t>Indirect Cost Rate, Line 11 -  Cost of Supeirntendent, Secretary and Asst. Supt.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</si>
</sst>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E14F-07C2-4416-A901-C96C185B291E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377</v>
      </c>
      <c r="C2" s="21">
        <v>377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8726651-7953534-24093-17402</f>
        <v>731622</v>
      </c>
      <c r="G9" s="18">
        <f>180388-164601</f>
        <v>15787</v>
      </c>
      <c r="H9" s="18">
        <f>610661-404710-35405</f>
        <v>170546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266883</f>
        <v>266883</v>
      </c>
      <c r="G12" s="18">
        <f>-39881+24094</f>
        <v>-15787</v>
      </c>
      <c r="H12" s="18">
        <v>-218642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50418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466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7721</v>
      </c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4481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1011173</v>
      </c>
      <c r="G19" s="41">
        <f>SUM(G9:G18)</f>
        <v>0</v>
      </c>
      <c r="H19" s="41">
        <f>SUM(H9:H18)</f>
        <v>2322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24093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15801</v>
      </c>
      <c r="G29" s="18"/>
      <c r="H29" s="18">
        <v>1281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220</v>
      </c>
      <c r="G31" s="18"/>
      <c r="H31" s="18">
        <v>1041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40114</v>
      </c>
      <c r="G33" s="41">
        <f>SUM(G23:G32)</f>
        <v>0</v>
      </c>
      <c r="H33" s="41">
        <f>SUM(H23:H32)</f>
        <v>2322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7721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4141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296316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662881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971059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1011173</v>
      </c>
      <c r="G44" s="41">
        <f>G43+G33</f>
        <v>0</v>
      </c>
      <c r="H44" s="41">
        <f>H43+H33</f>
        <v>2322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5955402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5955402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4760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4760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3109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78504+14089+5359+25566</f>
        <v>123518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6175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2846</v>
      </c>
      <c r="G101" s="18">
        <v>70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3150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9105</v>
      </c>
      <c r="G103" s="41">
        <f>SUM(G88:G102)</f>
        <v>123588</v>
      </c>
      <c r="H103" s="41">
        <f>SUM(H88:H102)</f>
        <v>6175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5969267</v>
      </c>
      <c r="G104" s="41">
        <f>G52+G103</f>
        <v>123588</v>
      </c>
      <c r="H104" s="41">
        <f>H52+H71+H86+H103</f>
        <v>6175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1587336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1301832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609011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3498179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56686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25251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1996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81937</v>
      </c>
      <c r="G128" s="41">
        <f>SUM(G115:G127)</f>
        <v>1996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3580116</v>
      </c>
      <c r="G132" s="41">
        <f>G113+SUM(G128:G129)</f>
        <v>1996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18130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33853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118221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22793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35738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35738</v>
      </c>
      <c r="G154" s="41">
        <f>SUM(G142:G153)</f>
        <v>22793</v>
      </c>
      <c r="H154" s="41">
        <f>SUM(H142:H153)</f>
        <v>170204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5109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35738</v>
      </c>
      <c r="G161" s="41">
        <f>G139+G154+SUM(G155:G160)</f>
        <v>27902</v>
      </c>
      <c r="H161" s="41">
        <f>H139+H154+SUM(H155:H160)</f>
        <v>170204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24093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24093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24093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9585121</v>
      </c>
      <c r="G185" s="47">
        <f>G104+G132+G161+G184</f>
        <v>177579</v>
      </c>
      <c r="H185" s="47">
        <f>H104+H132+H161+H184</f>
        <v>176379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1588195</v>
      </c>
      <c r="G189" s="18">
        <v>639521</v>
      </c>
      <c r="H189" s="18">
        <v>8564</v>
      </c>
      <c r="I189" s="18">
        <v>82147</v>
      </c>
      <c r="J189" s="18">
        <v>19491</v>
      </c>
      <c r="K189" s="18">
        <v>135</v>
      </c>
      <c r="L189" s="19">
        <f>SUM(F189:K189)</f>
        <v>2338053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649614</v>
      </c>
      <c r="G190" s="18">
        <v>255810</v>
      </c>
      <c r="H190" s="18">
        <v>4286</v>
      </c>
      <c r="I190" s="18">
        <v>4139</v>
      </c>
      <c r="J190" s="18">
        <v>5589</v>
      </c>
      <c r="K190" s="18"/>
      <c r="L190" s="19">
        <f>SUM(F190:K190)</f>
        <v>919438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6290</v>
      </c>
      <c r="G192" s="18">
        <v>968</v>
      </c>
      <c r="H192" s="18"/>
      <c r="I192" s="18"/>
      <c r="J192" s="18"/>
      <c r="K192" s="18"/>
      <c r="L192" s="19">
        <f>SUM(F192:K192)</f>
        <v>7258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212758</v>
      </c>
      <c r="G194" s="18">
        <v>73648</v>
      </c>
      <c r="H194" s="18">
        <v>24977</v>
      </c>
      <c r="I194" s="18">
        <v>1623</v>
      </c>
      <c r="J194" s="18">
        <v>390</v>
      </c>
      <c r="K194" s="18"/>
      <c r="L194" s="19">
        <f t="shared" ref="L194:L200" si="0">SUM(F194:K194)</f>
        <v>313396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70950</v>
      </c>
      <c r="G195" s="18">
        <v>26365</v>
      </c>
      <c r="H195" s="18">
        <v>11457</v>
      </c>
      <c r="I195" s="18">
        <v>18872</v>
      </c>
      <c r="J195" s="18"/>
      <c r="K195" s="18">
        <v>180</v>
      </c>
      <c r="L195" s="19">
        <f t="shared" si="0"/>
        <v>127824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3610</v>
      </c>
      <c r="G196" s="18">
        <v>300</v>
      </c>
      <c r="H196" s="18">
        <v>294257</v>
      </c>
      <c r="I196" s="18">
        <v>143</v>
      </c>
      <c r="J196" s="18"/>
      <c r="K196" s="18">
        <v>3785</v>
      </c>
      <c r="L196" s="19">
        <f t="shared" si="0"/>
        <v>302095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239973</v>
      </c>
      <c r="G197" s="18">
        <v>70983</v>
      </c>
      <c r="H197" s="18">
        <v>10141</v>
      </c>
      <c r="I197" s="18">
        <v>20</v>
      </c>
      <c r="J197" s="18"/>
      <c r="K197" s="18">
        <v>795</v>
      </c>
      <c r="L197" s="19">
        <f t="shared" si="0"/>
        <v>321912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149323</v>
      </c>
      <c r="G199" s="18">
        <v>54624</v>
      </c>
      <c r="H199" s="18">
        <v>122055</v>
      </c>
      <c r="I199" s="18">
        <v>111265</v>
      </c>
      <c r="J199" s="18">
        <v>1075</v>
      </c>
      <c r="K199" s="18"/>
      <c r="L199" s="19">
        <f t="shared" si="0"/>
        <v>438342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413982</v>
      </c>
      <c r="I200" s="18"/>
      <c r="J200" s="18"/>
      <c r="K200" s="18"/>
      <c r="L200" s="19">
        <f t="shared" si="0"/>
        <v>413982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2920713</v>
      </c>
      <c r="G203" s="41">
        <f t="shared" si="1"/>
        <v>1122219</v>
      </c>
      <c r="H203" s="41">
        <f t="shared" si="1"/>
        <v>889719</v>
      </c>
      <c r="I203" s="41">
        <f t="shared" si="1"/>
        <v>218209</v>
      </c>
      <c r="J203" s="41">
        <f t="shared" si="1"/>
        <v>26545</v>
      </c>
      <c r="K203" s="41">
        <f t="shared" si="1"/>
        <v>4895</v>
      </c>
      <c r="L203" s="41">
        <f t="shared" si="1"/>
        <v>5182300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1263230</v>
      </c>
      <c r="I207" s="18"/>
      <c r="J207" s="18"/>
      <c r="K207" s="18"/>
      <c r="L207" s="19">
        <f>SUM(F207:K207)</f>
        <v>1263230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1489</v>
      </c>
      <c r="I208" s="18"/>
      <c r="J208" s="18"/>
      <c r="K208" s="18"/>
      <c r="L208" s="19">
        <f>SUM(F208:K208)</f>
        <v>1489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4693</v>
      </c>
      <c r="I218" s="18"/>
      <c r="J218" s="18"/>
      <c r="K218" s="18"/>
      <c r="L218" s="19">
        <f t="shared" si="2"/>
        <v>4693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1269412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1269412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2513030</v>
      </c>
      <c r="I225" s="18"/>
      <c r="J225" s="18"/>
      <c r="K225" s="18"/>
      <c r="L225" s="19">
        <f>SUM(F225:K225)</f>
        <v>2513030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197373</v>
      </c>
      <c r="I226" s="18"/>
      <c r="J226" s="18"/>
      <c r="K226" s="18"/>
      <c r="L226" s="19">
        <f>SUM(F226:K226)</f>
        <v>197373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50788</v>
      </c>
      <c r="I236" s="18"/>
      <c r="J236" s="18"/>
      <c r="K236" s="18"/>
      <c r="L236" s="19">
        <f t="shared" si="4"/>
        <v>50788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2761191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2761191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2920713</v>
      </c>
      <c r="G249" s="41">
        <f t="shared" si="8"/>
        <v>1122219</v>
      </c>
      <c r="H249" s="41">
        <f t="shared" si="8"/>
        <v>4920322</v>
      </c>
      <c r="I249" s="41">
        <f t="shared" si="8"/>
        <v>218209</v>
      </c>
      <c r="J249" s="41">
        <f t="shared" si="8"/>
        <v>26545</v>
      </c>
      <c r="K249" s="41">
        <f t="shared" si="8"/>
        <v>4895</v>
      </c>
      <c r="L249" s="41">
        <f t="shared" si="8"/>
        <v>9212903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175000</v>
      </c>
      <c r="L252" s="19">
        <f>SUM(F252:K252)</f>
        <v>175000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4594</v>
      </c>
      <c r="L253" s="19">
        <f>SUM(F253:K253)</f>
        <v>4594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24093</v>
      </c>
      <c r="L255" s="19">
        <f>SUM(F255:K255)</f>
        <v>24093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203687</v>
      </c>
      <c r="L262" s="41">
        <f t="shared" si="9"/>
        <v>203687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2920713</v>
      </c>
      <c r="G263" s="42">
        <f t="shared" si="11"/>
        <v>1122219</v>
      </c>
      <c r="H263" s="42">
        <f t="shared" si="11"/>
        <v>4920322</v>
      </c>
      <c r="I263" s="42">
        <f t="shared" si="11"/>
        <v>218209</v>
      </c>
      <c r="J263" s="42">
        <f t="shared" si="11"/>
        <v>26545</v>
      </c>
      <c r="K263" s="42">
        <f t="shared" si="11"/>
        <v>208582</v>
      </c>
      <c r="L263" s="42">
        <f t="shared" si="11"/>
        <v>9416590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53342</v>
      </c>
      <c r="G268" s="18">
        <v>8840</v>
      </c>
      <c r="H268" s="18">
        <v>18595</v>
      </c>
      <c r="I268" s="18">
        <v>4538</v>
      </c>
      <c r="J268" s="18">
        <v>31236</v>
      </c>
      <c r="K268" s="18"/>
      <c r="L268" s="19">
        <f>SUM(F268:K268)</f>
        <v>116551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26105+23195</f>
        <v>49300</v>
      </c>
      <c r="G269" s="18">
        <f>9884+8945</f>
        <v>18829</v>
      </c>
      <c r="H269" s="18">
        <v>1542</v>
      </c>
      <c r="I269" s="18"/>
      <c r="J269" s="18"/>
      <c r="K269" s="18"/>
      <c r="L269" s="19">
        <f>SUM(F269:K269)</f>
        <v>69671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3000</v>
      </c>
      <c r="G273" s="18">
        <v>454</v>
      </c>
      <c r="H273" s="18">
        <v>2500</v>
      </c>
      <c r="I273" s="18"/>
      <c r="J273" s="18"/>
      <c r="K273" s="18"/>
      <c r="L273" s="19">
        <f t="shared" ref="L273:L279" si="12">SUM(F273:K273)</f>
        <v>5954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1554</v>
      </c>
      <c r="G274" s="18">
        <v>236</v>
      </c>
      <c r="H274" s="18">
        <v>3600</v>
      </c>
      <c r="I274" s="18">
        <v>650</v>
      </c>
      <c r="J274" s="18"/>
      <c r="K274" s="18"/>
      <c r="L274" s="19">
        <f t="shared" si="12"/>
        <v>6040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f>1228-53</f>
        <v>1175</v>
      </c>
      <c r="I276" s="18"/>
      <c r="J276" s="18"/>
      <c r="K276" s="18"/>
      <c r="L276" s="19">
        <f t="shared" si="12"/>
        <v>1175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>
        <v>641</v>
      </c>
      <c r="J278" s="18"/>
      <c r="K278" s="18"/>
      <c r="L278" s="19">
        <f t="shared" si="12"/>
        <v>641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107196</v>
      </c>
      <c r="G282" s="42">
        <f t="shared" si="13"/>
        <v>28359</v>
      </c>
      <c r="H282" s="42">
        <f t="shared" si="13"/>
        <v>27412</v>
      </c>
      <c r="I282" s="42">
        <f t="shared" si="13"/>
        <v>5829</v>
      </c>
      <c r="J282" s="42">
        <f t="shared" si="13"/>
        <v>31236</v>
      </c>
      <c r="K282" s="42">
        <f t="shared" si="13"/>
        <v>0</v>
      </c>
      <c r="L282" s="41">
        <f t="shared" si="13"/>
        <v>200032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107196</v>
      </c>
      <c r="G330" s="41">
        <f t="shared" si="20"/>
        <v>28359</v>
      </c>
      <c r="H330" s="41">
        <f t="shared" si="20"/>
        <v>27412</v>
      </c>
      <c r="I330" s="41">
        <f t="shared" si="20"/>
        <v>5829</v>
      </c>
      <c r="J330" s="41">
        <f t="shared" si="20"/>
        <v>31236</v>
      </c>
      <c r="K330" s="41">
        <f t="shared" si="20"/>
        <v>0</v>
      </c>
      <c r="L330" s="41">
        <f t="shared" si="20"/>
        <v>200032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107196</v>
      </c>
      <c r="G344" s="41">
        <f>G330</f>
        <v>28359</v>
      </c>
      <c r="H344" s="41">
        <f>H330</f>
        <v>27412</v>
      </c>
      <c r="I344" s="41">
        <f>I330</f>
        <v>5829</v>
      </c>
      <c r="J344" s="41">
        <f>J330</f>
        <v>31236</v>
      </c>
      <c r="K344" s="47">
        <f>K330+K343</f>
        <v>0</v>
      </c>
      <c r="L344" s="41">
        <f>L330+L343</f>
        <v>200032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43594</v>
      </c>
      <c r="G350" s="18">
        <v>16946</v>
      </c>
      <c r="H350" s="18">
        <v>1839</v>
      </c>
      <c r="I350" s="18">
        <v>113470</v>
      </c>
      <c r="J350" s="18"/>
      <c r="K350" s="18">
        <v>1730</v>
      </c>
      <c r="L350" s="13">
        <f>SUM(F350:K350)</f>
        <v>177579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43594</v>
      </c>
      <c r="G354" s="47">
        <f t="shared" si="22"/>
        <v>16946</v>
      </c>
      <c r="H354" s="47">
        <f t="shared" si="22"/>
        <v>1839</v>
      </c>
      <c r="I354" s="47">
        <f t="shared" si="22"/>
        <v>113470</v>
      </c>
      <c r="J354" s="47">
        <f t="shared" si="22"/>
        <v>0</v>
      </c>
      <c r="K354" s="47">
        <f t="shared" si="22"/>
        <v>1730</v>
      </c>
      <c r="L354" s="47">
        <f t="shared" si="22"/>
        <v>177579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108092</v>
      </c>
      <c r="G359" s="18"/>
      <c r="H359" s="18"/>
      <c r="I359" s="56">
        <f>SUM(F359:H359)</f>
        <v>108092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5378</v>
      </c>
      <c r="G360" s="63"/>
      <c r="H360" s="63"/>
      <c r="I360" s="56">
        <f>SUM(F360:H360)</f>
        <v>5378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113470</v>
      </c>
      <c r="G361" s="47">
        <f>SUM(G359:G360)</f>
        <v>0</v>
      </c>
      <c r="H361" s="47">
        <f>SUM(H359:H360)</f>
        <v>0</v>
      </c>
      <c r="I361" s="47">
        <f>SUM(I359:I360)</f>
        <v>113470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802528</v>
      </c>
      <c r="G455" s="18">
        <v>0</v>
      </c>
      <c r="H455" s="18">
        <v>23653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9585121</v>
      </c>
      <c r="G458" s="18">
        <f>G185</f>
        <v>177579</v>
      </c>
      <c r="H458" s="18">
        <f>H185</f>
        <v>176379</v>
      </c>
      <c r="I458" s="18">
        <v>0</v>
      </c>
      <c r="J458" s="18">
        <v>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9585121</v>
      </c>
      <c r="G460" s="53">
        <f>SUM(G458:G459)</f>
        <v>177579</v>
      </c>
      <c r="H460" s="53">
        <f>SUM(H458:H459)</f>
        <v>176379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9416590</v>
      </c>
      <c r="G462" s="18">
        <f>L354</f>
        <v>177579</v>
      </c>
      <c r="H462" s="18">
        <f>L344</f>
        <v>200032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9416590</v>
      </c>
      <c r="G464" s="53">
        <f>SUM(G462:G463)</f>
        <v>177579</v>
      </c>
      <c r="H464" s="53">
        <f>SUM(H462:H463)</f>
        <v>200032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971059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1750000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175000</v>
      </c>
      <c r="G485" s="18"/>
      <c r="H485" s="18"/>
      <c r="I485" s="18"/>
      <c r="J485" s="18"/>
      <c r="K485" s="53">
        <f>SUM(F485:J485)</f>
        <v>175000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175000</v>
      </c>
      <c r="G487" s="18"/>
      <c r="H487" s="18"/>
      <c r="I487" s="18"/>
      <c r="J487" s="18"/>
      <c r="K487" s="53">
        <f t="shared" si="34"/>
        <v>175000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675718+23195</f>
        <v>698913</v>
      </c>
      <c r="G511" s="18">
        <f>265695+8945</f>
        <v>274640</v>
      </c>
      <c r="H511" s="18">
        <v>5827</v>
      </c>
      <c r="I511" s="18">
        <v>4139</v>
      </c>
      <c r="J511" s="18">
        <v>5589</v>
      </c>
      <c r="K511" s="18"/>
      <c r="L511" s="88">
        <f>SUM(F511:K511)</f>
        <v>989108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1489</v>
      </c>
      <c r="I512" s="18"/>
      <c r="J512" s="18"/>
      <c r="K512" s="18"/>
      <c r="L512" s="88">
        <f>SUM(F512:K512)</f>
        <v>1489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197373</v>
      </c>
      <c r="I513" s="18"/>
      <c r="J513" s="18"/>
      <c r="K513" s="18"/>
      <c r="L513" s="88">
        <f>SUM(F513:K513)</f>
        <v>197373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698913</v>
      </c>
      <c r="G514" s="108">
        <f t="shared" ref="G514:L514" si="35">SUM(G511:G513)</f>
        <v>274640</v>
      </c>
      <c r="H514" s="108">
        <f t="shared" si="35"/>
        <v>204689</v>
      </c>
      <c r="I514" s="108">
        <f t="shared" si="35"/>
        <v>4139</v>
      </c>
      <c r="J514" s="108">
        <f t="shared" si="35"/>
        <v>5589</v>
      </c>
      <c r="K514" s="108">
        <f t="shared" si="35"/>
        <v>0</v>
      </c>
      <c r="L514" s="89">
        <f t="shared" si="35"/>
        <v>1187970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139377</v>
      </c>
      <c r="G516" s="18">
        <v>52007</v>
      </c>
      <c r="H516" s="18">
        <v>24607</v>
      </c>
      <c r="I516" s="18">
        <v>846</v>
      </c>
      <c r="J516" s="18"/>
      <c r="K516" s="18"/>
      <c r="L516" s="88">
        <f>SUM(F516:K516)</f>
        <v>216837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139377</v>
      </c>
      <c r="G519" s="89">
        <f t="shared" ref="G519:L519" si="36">SUM(G516:G518)</f>
        <v>52007</v>
      </c>
      <c r="H519" s="89">
        <f t="shared" si="36"/>
        <v>24607</v>
      </c>
      <c r="I519" s="89">
        <f t="shared" si="36"/>
        <v>846</v>
      </c>
      <c r="J519" s="89">
        <f t="shared" si="36"/>
        <v>0</v>
      </c>
      <c r="K519" s="89">
        <f t="shared" si="36"/>
        <v>0</v>
      </c>
      <c r="L519" s="89">
        <f t="shared" si="36"/>
        <v>216837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67327</v>
      </c>
      <c r="G521" s="18">
        <v>29541</v>
      </c>
      <c r="H521" s="18"/>
      <c r="I521" s="18"/>
      <c r="J521" s="18"/>
      <c r="K521" s="18"/>
      <c r="L521" s="88">
        <f>SUM(F521:K521)</f>
        <v>96868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67327</v>
      </c>
      <c r="G524" s="89">
        <f t="shared" ref="G524:L524" si="37">SUM(G521:G523)</f>
        <v>29541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96868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684</v>
      </c>
      <c r="I526" s="18"/>
      <c r="J526" s="18"/>
      <c r="K526" s="18"/>
      <c r="L526" s="88">
        <f>SUM(F526:K526)</f>
        <v>684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684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684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32471</v>
      </c>
      <c r="I531" s="18"/>
      <c r="J531" s="18"/>
      <c r="K531" s="18"/>
      <c r="L531" s="88">
        <f>SUM(F531:K531)</f>
        <v>32471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4693</v>
      </c>
      <c r="I532" s="18"/>
      <c r="J532" s="18"/>
      <c r="K532" s="18"/>
      <c r="L532" s="88">
        <f>SUM(F532:K532)</f>
        <v>4693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50788</v>
      </c>
      <c r="I533" s="18"/>
      <c r="J533" s="18"/>
      <c r="K533" s="18"/>
      <c r="L533" s="88">
        <f>SUM(F533:K533)</f>
        <v>50788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87952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87952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905617</v>
      </c>
      <c r="G535" s="89">
        <f t="shared" ref="G535:L535" si="40">G514+G519+G524+G529+G534</f>
        <v>356188</v>
      </c>
      <c r="H535" s="89">
        <f t="shared" si="40"/>
        <v>317932</v>
      </c>
      <c r="I535" s="89">
        <f t="shared" si="40"/>
        <v>4985</v>
      </c>
      <c r="J535" s="89">
        <f t="shared" si="40"/>
        <v>5589</v>
      </c>
      <c r="K535" s="89">
        <f t="shared" si="40"/>
        <v>0</v>
      </c>
      <c r="L535" s="89">
        <f t="shared" si="40"/>
        <v>1590311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989108</v>
      </c>
      <c r="G539" s="87">
        <f>L516</f>
        <v>216837</v>
      </c>
      <c r="H539" s="87">
        <f>L521</f>
        <v>96868</v>
      </c>
      <c r="I539" s="87">
        <f>L526</f>
        <v>684</v>
      </c>
      <c r="J539" s="87">
        <f>L531</f>
        <v>32471</v>
      </c>
      <c r="K539" s="87">
        <f>SUM(F539:J539)</f>
        <v>1335968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1489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4693</v>
      </c>
      <c r="K540" s="87">
        <f>SUM(F540:J540)</f>
        <v>6182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197373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50788</v>
      </c>
      <c r="K541" s="87">
        <f>SUM(F541:J541)</f>
        <v>248161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1187970</v>
      </c>
      <c r="G542" s="89">
        <f t="shared" si="41"/>
        <v>216837</v>
      </c>
      <c r="H542" s="89">
        <f t="shared" si="41"/>
        <v>96868</v>
      </c>
      <c r="I542" s="89">
        <f t="shared" si="41"/>
        <v>684</v>
      </c>
      <c r="J542" s="89">
        <f t="shared" si="41"/>
        <v>87952</v>
      </c>
      <c r="K542" s="89">
        <f t="shared" si="41"/>
        <v>1590311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21528</v>
      </c>
      <c r="G552" s="18">
        <v>3783</v>
      </c>
      <c r="H552" s="18"/>
      <c r="I552" s="18"/>
      <c r="J552" s="18"/>
      <c r="K552" s="18"/>
      <c r="L552" s="88">
        <f>SUM(F552:K552)</f>
        <v>25311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21528</v>
      </c>
      <c r="G555" s="89">
        <f t="shared" si="43"/>
        <v>3783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25311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21528</v>
      </c>
      <c r="G561" s="89">
        <f t="shared" ref="G561:L561" si="45">G550+G555+G560</f>
        <v>3783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25311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1263230</v>
      </c>
      <c r="H565" s="18">
        <v>2513030</v>
      </c>
      <c r="I565" s="87">
        <f>SUM(F565:H565)</f>
        <v>3776260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71187</v>
      </c>
      <c r="I569" s="87">
        <f t="shared" si="46"/>
        <v>71187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125735</v>
      </c>
      <c r="I573" s="87">
        <f t="shared" si="46"/>
        <v>125735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375973</v>
      </c>
      <c r="I581" s="18"/>
      <c r="J581" s="18"/>
      <c r="K581" s="104">
        <f t="shared" ref="K581:K587" si="47">SUM(H581:J581)</f>
        <v>375973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H531</f>
        <v>32471</v>
      </c>
      <c r="I582" s="18">
        <f>H532</f>
        <v>4693</v>
      </c>
      <c r="J582" s="18">
        <f>H533</f>
        <v>50788</v>
      </c>
      <c r="K582" s="104">
        <f t="shared" si="47"/>
        <v>87952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5538</v>
      </c>
      <c r="I585" s="18"/>
      <c r="J585" s="18"/>
      <c r="K585" s="104">
        <f t="shared" si="47"/>
        <v>5538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413982</v>
      </c>
      <c r="I588" s="108">
        <f>SUM(I581:I587)</f>
        <v>4693</v>
      </c>
      <c r="J588" s="108">
        <f>SUM(J581:J587)</f>
        <v>50788</v>
      </c>
      <c r="K588" s="108">
        <f>SUM(K581:K587)</f>
        <v>469463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J249++J344</f>
        <v>57781</v>
      </c>
      <c r="I594" s="18"/>
      <c r="J594" s="18"/>
      <c r="K594" s="104">
        <f>SUM(H594:J594)</f>
        <v>57781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57781</v>
      </c>
      <c r="I595" s="108">
        <f>SUM(I592:I594)</f>
        <v>0</v>
      </c>
      <c r="J595" s="108">
        <f>SUM(J592:J594)</f>
        <v>0</v>
      </c>
      <c r="K595" s="108">
        <f>SUM(K592:K594)</f>
        <v>57781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6290</v>
      </c>
      <c r="G601" s="18">
        <v>968</v>
      </c>
      <c r="H601" s="18"/>
      <c r="I601" s="18"/>
      <c r="J601" s="18"/>
      <c r="K601" s="18"/>
      <c r="L601" s="88">
        <f>SUM(F601:K601)</f>
        <v>7258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6290</v>
      </c>
      <c r="G604" s="108">
        <f t="shared" si="48"/>
        <v>968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7258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1011173</v>
      </c>
      <c r="H607" s="109">
        <f>SUM(F44)</f>
        <v>1011173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2322</v>
      </c>
      <c r="H609" s="109">
        <f>SUM(H44)</f>
        <v>2322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971059</v>
      </c>
      <c r="H612" s="109">
        <f>F466</f>
        <v>971059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9585121</v>
      </c>
      <c r="H617" s="104">
        <f>SUM(F458)</f>
        <v>9585121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177579</v>
      </c>
      <c r="H618" s="104">
        <f>SUM(G458)</f>
        <v>177579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176379</v>
      </c>
      <c r="H619" s="104">
        <f>SUM(H458)</f>
        <v>176379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9416590</v>
      </c>
      <c r="H622" s="104">
        <f>SUM(F462)</f>
        <v>9416590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200032</v>
      </c>
      <c r="H623" s="104">
        <f>SUM(H462)</f>
        <v>200032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113470</v>
      </c>
      <c r="H624" s="104">
        <f>I361</f>
        <v>113470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177579</v>
      </c>
      <c r="H625" s="104">
        <f>SUM(G462)</f>
        <v>177579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469463</v>
      </c>
      <c r="H637" s="104">
        <f>L200+L218+L236</f>
        <v>469463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57781</v>
      </c>
      <c r="H638" s="104">
        <f>(J249+J330)-(J247+J328)</f>
        <v>57781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413982</v>
      </c>
      <c r="H639" s="104">
        <f>H588</f>
        <v>413982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4693</v>
      </c>
      <c r="H640" s="104">
        <f>I588</f>
        <v>4693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50788</v>
      </c>
      <c r="H641" s="104">
        <f>J588</f>
        <v>50788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24093</v>
      </c>
      <c r="H642" s="104">
        <f>K255+K337</f>
        <v>24093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5559911</v>
      </c>
      <c r="G650" s="19">
        <f>(L221+L301+L351)</f>
        <v>1269412</v>
      </c>
      <c r="H650" s="19">
        <f>(L239+L320+L352)</f>
        <v>2761191</v>
      </c>
      <c r="I650" s="19">
        <f>SUM(F650:H650)</f>
        <v>9590514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123588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123588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413982</v>
      </c>
      <c r="G652" s="19">
        <f>(L218+L298)-(J218+J298)</f>
        <v>4693</v>
      </c>
      <c r="H652" s="19">
        <f>(L236+L317)-(J236+J317)</f>
        <v>50788</v>
      </c>
      <c r="I652" s="19">
        <f>SUM(F652:H652)</f>
        <v>469463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65039</v>
      </c>
      <c r="G653" s="200">
        <f>SUM(G565:G577)+SUM(I592:I594)+L602</f>
        <v>1263230</v>
      </c>
      <c r="H653" s="200">
        <f>SUM(H565:H577)+SUM(J592:J594)+L603</f>
        <v>2709952</v>
      </c>
      <c r="I653" s="19">
        <f>SUM(F653:H653)</f>
        <v>4038221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4957302</v>
      </c>
      <c r="G654" s="19">
        <f>G650-SUM(G651:G653)</f>
        <v>1489</v>
      </c>
      <c r="H654" s="19">
        <f>H650-SUM(H651:H653)</f>
        <v>451</v>
      </c>
      <c r="I654" s="19">
        <f>I650-SUM(I651:I653)</f>
        <v>4959242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509.98</v>
      </c>
      <c r="G655" s="249"/>
      <c r="H655" s="249"/>
      <c r="I655" s="19">
        <f>SUM(F655:H655)</f>
        <v>509.98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9720.58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9724.39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-1489</v>
      </c>
      <c r="H659" s="18">
        <v>-451</v>
      </c>
      <c r="I659" s="19">
        <f>SUM(F659:H659)</f>
        <v>-1940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9720.58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9720.58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ADF0-BB8E-47F0-9C60-CAB200521B1E}">
  <sheetPr>
    <tabColor indexed="20"/>
  </sheetPr>
  <dimension ref="A1:C52"/>
  <sheetViews>
    <sheetView workbookViewId="0">
      <selection activeCell="H41" sqref="H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 Boston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1641537</v>
      </c>
      <c r="C9" s="230">
        <f>'DOE25'!G189+'DOE25'!G207+'DOE25'!G225+'DOE25'!G268+'DOE25'!G287+'DOE25'!G306</f>
        <v>648361</v>
      </c>
    </row>
    <row r="10" spans="1:3" x14ac:dyDescent="0.2">
      <c r="A10" t="s">
        <v>813</v>
      </c>
      <c r="B10" s="241">
        <v>1496705</v>
      </c>
      <c r="C10" s="241">
        <v>596492</v>
      </c>
    </row>
    <row r="11" spans="1:3" x14ac:dyDescent="0.2">
      <c r="A11" t="s">
        <v>814</v>
      </c>
      <c r="B11" s="241">
        <v>92294</v>
      </c>
      <c r="C11" s="241">
        <v>32418</v>
      </c>
    </row>
    <row r="12" spans="1:3" x14ac:dyDescent="0.2">
      <c r="A12" t="s">
        <v>815</v>
      </c>
      <c r="B12" s="241">
        <v>52538</v>
      </c>
      <c r="C12" s="241">
        <v>19451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1641537</v>
      </c>
      <c r="C13" s="232">
        <f>SUM(C10:C12)</f>
        <v>648361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698914</v>
      </c>
      <c r="C18" s="230">
        <f>'DOE25'!G190+'DOE25'!G208+'DOE25'!G226+'DOE25'!G269+'DOE25'!G288+'DOE25'!G307</f>
        <v>274639</v>
      </c>
    </row>
    <row r="19" spans="1:3" x14ac:dyDescent="0.2">
      <c r="A19" t="s">
        <v>813</v>
      </c>
      <c r="B19" s="241">
        <v>338788</v>
      </c>
      <c r="C19" s="241">
        <v>118095</v>
      </c>
    </row>
    <row r="20" spans="1:3" x14ac:dyDescent="0.2">
      <c r="A20" t="s">
        <v>814</v>
      </c>
      <c r="B20" s="241">
        <v>355725</v>
      </c>
      <c r="C20" s="241">
        <v>156544</v>
      </c>
    </row>
    <row r="21" spans="1:3" x14ac:dyDescent="0.2">
      <c r="A21" t="s">
        <v>815</v>
      </c>
      <c r="B21" s="241">
        <v>4401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698914</v>
      </c>
      <c r="C22" s="232">
        <f>SUM(C19:C21)</f>
        <v>274639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6290</v>
      </c>
      <c r="C36" s="236">
        <f>'DOE25'!G192+'DOE25'!G210+'DOE25'!G228+'DOE25'!G271+'DOE25'!G290+'DOE25'!G309</f>
        <v>968</v>
      </c>
    </row>
    <row r="37" spans="1:3" x14ac:dyDescent="0.2">
      <c r="A37" t="s">
        <v>813</v>
      </c>
      <c r="B37" s="241">
        <v>6290</v>
      </c>
      <c r="C37" s="241">
        <v>968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6290</v>
      </c>
      <c r="C40" s="232">
        <f>SUM(C37:C39)</f>
        <v>968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CDEA-A804-412A-82F4-AAB095D040D6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 Boston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7239871</v>
      </c>
      <c r="D5" s="20">
        <f>SUM('DOE25'!L189:L192)+SUM('DOE25'!L207:L210)+SUM('DOE25'!L225:L228)-F5-G5</f>
        <v>7214656</v>
      </c>
      <c r="E5" s="244"/>
      <c r="F5" s="256">
        <f>SUM('DOE25'!J189:J192)+SUM('DOE25'!J207:J210)+SUM('DOE25'!J225:J228)</f>
        <v>25080</v>
      </c>
      <c r="G5" s="53">
        <f>SUM('DOE25'!K189:K192)+SUM('DOE25'!K207:K210)+SUM('DOE25'!K225:K228)</f>
        <v>135</v>
      </c>
      <c r="H5" s="260"/>
    </row>
    <row r="6" spans="1:9" x14ac:dyDescent="0.2">
      <c r="A6" s="32">
        <v>2100</v>
      </c>
      <c r="B6" t="s">
        <v>835</v>
      </c>
      <c r="C6" s="246">
        <f t="shared" si="0"/>
        <v>313396</v>
      </c>
      <c r="D6" s="20">
        <f>'DOE25'!L194+'DOE25'!L212+'DOE25'!L230-F6-G6</f>
        <v>313006</v>
      </c>
      <c r="E6" s="244"/>
      <c r="F6" s="256">
        <f>'DOE25'!J194+'DOE25'!J212+'DOE25'!J230</f>
        <v>390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127824</v>
      </c>
      <c r="D7" s="20">
        <f>'DOE25'!L195+'DOE25'!L213+'DOE25'!L231-F7-G7</f>
        <v>127644</v>
      </c>
      <c r="E7" s="244"/>
      <c r="F7" s="256">
        <f>'DOE25'!J195+'DOE25'!J213+'DOE25'!J231</f>
        <v>0</v>
      </c>
      <c r="G7" s="53">
        <f>'DOE25'!K195+'DOE25'!K213+'DOE25'!K231</f>
        <v>180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164121</v>
      </c>
      <c r="D8" s="244"/>
      <c r="E8" s="20">
        <f>'DOE25'!L196+'DOE25'!L214+'DOE25'!L232-F8-G8-D9-D11</f>
        <v>160336</v>
      </c>
      <c r="F8" s="256">
        <f>'DOE25'!J196+'DOE25'!J214+'DOE25'!J232</f>
        <v>0</v>
      </c>
      <c r="G8" s="53">
        <f>'DOE25'!K196+'DOE25'!K214+'DOE25'!K232</f>
        <v>3785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10169</v>
      </c>
      <c r="D9" s="245">
        <v>10169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4840</v>
      </c>
      <c r="D10" s="244"/>
      <c r="E10" s="245">
        <v>4840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127805</v>
      </c>
      <c r="D11" s="245">
        <v>127805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321912</v>
      </c>
      <c r="D12" s="20">
        <f>'DOE25'!L197+'DOE25'!L215+'DOE25'!L233-F12-G12</f>
        <v>321117</v>
      </c>
      <c r="E12" s="244"/>
      <c r="F12" s="256">
        <f>'DOE25'!J197+'DOE25'!J215+'DOE25'!J233</f>
        <v>0</v>
      </c>
      <c r="G12" s="53">
        <f>'DOE25'!K197+'DOE25'!K215+'DOE25'!K233</f>
        <v>795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438342</v>
      </c>
      <c r="D14" s="20">
        <f>'DOE25'!L199+'DOE25'!L217+'DOE25'!L235-F14-G14</f>
        <v>437267</v>
      </c>
      <c r="E14" s="244"/>
      <c r="F14" s="256">
        <f>'DOE25'!J199+'DOE25'!J217+'DOE25'!J235</f>
        <v>1075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469463</v>
      </c>
      <c r="D15" s="20">
        <f>'DOE25'!L200+'DOE25'!L218+'DOE25'!L236-F15-G15</f>
        <v>469463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179594</v>
      </c>
      <c r="D25" s="244"/>
      <c r="E25" s="244"/>
      <c r="F25" s="259"/>
      <c r="G25" s="257"/>
      <c r="H25" s="258">
        <f>'DOE25'!L252+'DOE25'!L253+'DOE25'!L333+'DOE25'!L334</f>
        <v>179594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69487</v>
      </c>
      <c r="D29" s="20">
        <f>'DOE25'!L350+'DOE25'!L351+'DOE25'!L352-'DOE25'!I359-F29-G29</f>
        <v>67757</v>
      </c>
      <c r="E29" s="244"/>
      <c r="F29" s="256">
        <f>'DOE25'!J350+'DOE25'!J351+'DOE25'!J352</f>
        <v>0</v>
      </c>
      <c r="G29" s="53">
        <f>'DOE25'!K350+'DOE25'!K351+'DOE25'!K352</f>
        <v>1730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200032</v>
      </c>
      <c r="D31" s="20">
        <f>'DOE25'!L282+'DOE25'!L301+'DOE25'!L320+'DOE25'!L325+'DOE25'!L326+'DOE25'!L327-F31-G31</f>
        <v>168796</v>
      </c>
      <c r="E31" s="244"/>
      <c r="F31" s="256">
        <f>'DOE25'!J282+'DOE25'!J301+'DOE25'!J320+'DOE25'!J325+'DOE25'!J326+'DOE25'!J327</f>
        <v>31236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9257680</v>
      </c>
      <c r="E33" s="247">
        <f>SUM(E5:E31)</f>
        <v>165176</v>
      </c>
      <c r="F33" s="247">
        <f>SUM(F5:F31)</f>
        <v>57781</v>
      </c>
      <c r="G33" s="247">
        <f>SUM(G5:G31)</f>
        <v>6625</v>
      </c>
      <c r="H33" s="247">
        <f>SUM(H5:H31)</f>
        <v>179594</v>
      </c>
    </row>
    <row r="35" spans="2:8" ht="12" thickBot="1" x14ac:dyDescent="0.25">
      <c r="B35" s="254" t="s">
        <v>881</v>
      </c>
      <c r="D35" s="255">
        <f>E33</f>
        <v>165176</v>
      </c>
      <c r="E35" s="250"/>
    </row>
    <row r="36" spans="2:8" ht="12" thickTop="1" x14ac:dyDescent="0.2">
      <c r="B36" t="s">
        <v>849</v>
      </c>
      <c r="D36" s="20">
        <f>D33</f>
        <v>9257680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7E9-7935-4B6B-9710-C9F53C01CD0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I15" sqref="I1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731622</v>
      </c>
      <c r="D9" s="95">
        <f>'DOE25'!G9</f>
        <v>15787</v>
      </c>
      <c r="E9" s="95">
        <f>'DOE25'!H9</f>
        <v>170546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266883</v>
      </c>
      <c r="D12" s="95">
        <f>'DOE25'!G12</f>
        <v>-15787</v>
      </c>
      <c r="E12" s="95">
        <f>'DOE25'!H12</f>
        <v>-218642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50418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466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7721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4481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1011173</v>
      </c>
      <c r="D19" s="41">
        <f>SUM(D9:D18)</f>
        <v>0</v>
      </c>
      <c r="E19" s="41">
        <f>SUM(E9:E18)</f>
        <v>2322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24093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15801</v>
      </c>
      <c r="D28" s="95">
        <f>'DOE25'!G29</f>
        <v>0</v>
      </c>
      <c r="E28" s="95">
        <f>'DOE25'!H29</f>
        <v>1281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220</v>
      </c>
      <c r="D30" s="95">
        <f>'DOE25'!G31</f>
        <v>0</v>
      </c>
      <c r="E30" s="95">
        <f>'DOE25'!H31</f>
        <v>1041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40114</v>
      </c>
      <c r="D32" s="41">
        <f>SUM(D22:D31)</f>
        <v>0</v>
      </c>
      <c r="E32" s="41">
        <f>SUM(E22:E31)</f>
        <v>2322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7721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4141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296316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662881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971059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1011173</v>
      </c>
      <c r="D43" s="41">
        <f>D42+D32</f>
        <v>0</v>
      </c>
      <c r="E43" s="41">
        <f>E42+E32</f>
        <v>2322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5955402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4760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3109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123518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5996</v>
      </c>
      <c r="D53" s="95">
        <f>SUM('DOE25'!G90:G102)</f>
        <v>70</v>
      </c>
      <c r="E53" s="95">
        <f>SUM('DOE25'!H90:H102)</f>
        <v>6175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13865</v>
      </c>
      <c r="D54" s="130">
        <f>SUM(D49:D53)</f>
        <v>123588</v>
      </c>
      <c r="E54" s="130">
        <f>SUM(E49:E53)</f>
        <v>6175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5969267</v>
      </c>
      <c r="D55" s="22">
        <f>D48+D54</f>
        <v>123588</v>
      </c>
      <c r="E55" s="22">
        <f>E48+E54</f>
        <v>6175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1587336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1301832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609011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3498179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56686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25251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1996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81937</v>
      </c>
      <c r="D70" s="130">
        <f>SUM(D64:D69)</f>
        <v>1996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3580116</v>
      </c>
      <c r="D73" s="130">
        <f>SUM(D71:D72)+D70+D62</f>
        <v>1996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18130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35738</v>
      </c>
      <c r="D80" s="95">
        <f>SUM('DOE25'!G145:G153)</f>
        <v>22793</v>
      </c>
      <c r="E80" s="95">
        <f>SUM('DOE25'!H145:H153)</f>
        <v>152074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5109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35738</v>
      </c>
      <c r="D83" s="131">
        <f>SUM(D77:D82)</f>
        <v>27902</v>
      </c>
      <c r="E83" s="131">
        <f>SUM(E77:E82)</f>
        <v>170204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24093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24093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9585121</v>
      </c>
      <c r="D96" s="86">
        <f>D55+D73+D83+D95</f>
        <v>177579</v>
      </c>
      <c r="E96" s="86">
        <f>E55+E73+E83+E95</f>
        <v>176379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6114313</v>
      </c>
      <c r="D101" s="24" t="s">
        <v>312</v>
      </c>
      <c r="E101" s="95">
        <f>('DOE25'!L268)+('DOE25'!L287)+('DOE25'!L306)</f>
        <v>116551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1118300</v>
      </c>
      <c r="D102" s="24" t="s">
        <v>312</v>
      </c>
      <c r="E102" s="95">
        <f>('DOE25'!L269)+('DOE25'!L288)+('DOE25'!L307)</f>
        <v>69671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7258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7239871</v>
      </c>
      <c r="D107" s="86">
        <f>SUM(D101:D106)</f>
        <v>0</v>
      </c>
      <c r="E107" s="86">
        <f>SUM(E101:E106)</f>
        <v>186222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313396</v>
      </c>
      <c r="D110" s="24" t="s">
        <v>312</v>
      </c>
      <c r="E110" s="95">
        <f>+('DOE25'!L273)+('DOE25'!L292)+('DOE25'!L311)</f>
        <v>5954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127824</v>
      </c>
      <c r="D111" s="24" t="s">
        <v>312</v>
      </c>
      <c r="E111" s="95">
        <f>+('DOE25'!L274)+('DOE25'!L293)+('DOE25'!L312)</f>
        <v>6040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302095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321912</v>
      </c>
      <c r="D113" s="24" t="s">
        <v>312</v>
      </c>
      <c r="E113" s="95">
        <f>+('DOE25'!L276)+('DOE25'!L295)+('DOE25'!L314)</f>
        <v>1175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438342</v>
      </c>
      <c r="D115" s="24" t="s">
        <v>312</v>
      </c>
      <c r="E115" s="95">
        <f>+('DOE25'!L278)+('DOE25'!L297)+('DOE25'!L316)</f>
        <v>641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469463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177579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1973032</v>
      </c>
      <c r="D120" s="86">
        <f>SUM(D110:D119)</f>
        <v>177579</v>
      </c>
      <c r="E120" s="86">
        <f>SUM(E110:E119)</f>
        <v>13810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4594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24093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203687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9416590</v>
      </c>
      <c r="D137" s="86">
        <f>(D107+D120+D136)</f>
        <v>177579</v>
      </c>
      <c r="E137" s="86">
        <f>(E107+E120+E136)</f>
        <v>200032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08/09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1750000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175000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175000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5D98-3890-44F6-8546-C133D46CE183}">
  <sheetPr codeName="Sheet3">
    <tabColor indexed="43"/>
  </sheetPr>
  <dimension ref="A1:D42"/>
  <sheetViews>
    <sheetView workbookViewId="0">
      <selection activeCell="G38" sqref="G3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 Boston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9721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9721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6230864</v>
      </c>
      <c r="D10" s="182">
        <f>ROUND((C10/$C$28)*100,1)</f>
        <v>65.8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1187971</v>
      </c>
      <c r="D11" s="182">
        <f>ROUND((C11/$C$28)*100,1)</f>
        <v>12.5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7258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319350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133864</v>
      </c>
      <c r="D16" s="182">
        <f t="shared" si="0"/>
        <v>1.4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302095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323087</v>
      </c>
      <c r="D18" s="182">
        <f t="shared" si="0"/>
        <v>3.4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438983</v>
      </c>
      <c r="D20" s="182">
        <f t="shared" si="0"/>
        <v>4.5999999999999996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469463</v>
      </c>
      <c r="D21" s="182">
        <f t="shared" si="0"/>
        <v>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4594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53991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9471520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9471520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5955402</v>
      </c>
      <c r="D35" s="182">
        <f t="shared" ref="D35:D40" si="1">ROUND((C35/$C$41)*100,1)</f>
        <v>60.8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20040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2889168</v>
      </c>
      <c r="D37" s="182">
        <f t="shared" si="1"/>
        <v>29.5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692944</v>
      </c>
      <c r="D38" s="182">
        <f t="shared" si="1"/>
        <v>7.1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233844</v>
      </c>
      <c r="D39" s="182">
        <f t="shared" si="1"/>
        <v>2.4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9791398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8828-86F8-492D-AAE9-7F41B85C92A9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New Boston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 t="s">
        <v>898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2010-10-12T14:30:02Z</cp:lastPrinted>
  <dcterms:created xsi:type="dcterms:W3CDTF">1997-12-04T19:04:30Z</dcterms:created>
  <dcterms:modified xsi:type="dcterms:W3CDTF">2025-01-09T20:09:36Z</dcterms:modified>
</cp:coreProperties>
</file>