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A9668B8-F239-4014-BDBC-4417505CDDE9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40426C45-9FC6-4BA1-BBC3-1A47D7B532A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2" l="1"/>
  <c r="C39" i="12" s="1"/>
  <c r="C40" i="12" s="1"/>
  <c r="B39" i="12"/>
  <c r="C18" i="12"/>
  <c r="C19" i="12" s="1"/>
  <c r="C22" i="12" s="1"/>
  <c r="A22" i="12" s="1"/>
  <c r="C20" i="12"/>
  <c r="C21" i="12"/>
  <c r="B19" i="12"/>
  <c r="B20" i="12"/>
  <c r="C9" i="12"/>
  <c r="C12" i="12"/>
  <c r="C10" i="12" s="1"/>
  <c r="C13" i="12" s="1"/>
  <c r="A13" i="12" s="1"/>
  <c r="C11" i="12"/>
  <c r="B12" i="12"/>
  <c r="B10" i="12"/>
  <c r="H554" i="1"/>
  <c r="H553" i="1"/>
  <c r="H552" i="1"/>
  <c r="J516" i="1"/>
  <c r="I518" i="1"/>
  <c r="I517" i="1"/>
  <c r="I516" i="1"/>
  <c r="H518" i="1"/>
  <c r="H517" i="1"/>
  <c r="L517" i="1" s="1"/>
  <c r="G540" i="1" s="1"/>
  <c r="H516" i="1"/>
  <c r="G518" i="1"/>
  <c r="G517" i="1"/>
  <c r="G516" i="1"/>
  <c r="F518" i="1"/>
  <c r="F517" i="1"/>
  <c r="F516" i="1"/>
  <c r="H523" i="1"/>
  <c r="H522" i="1"/>
  <c r="H521" i="1"/>
  <c r="G523" i="1"/>
  <c r="G522" i="1"/>
  <c r="G524" i="1" s="1"/>
  <c r="G535" i="1" s="1"/>
  <c r="G521" i="1"/>
  <c r="F523" i="1"/>
  <c r="F522" i="1"/>
  <c r="F521" i="1"/>
  <c r="F9" i="1"/>
  <c r="H594" i="1"/>
  <c r="F102" i="1"/>
  <c r="G462" i="1"/>
  <c r="H51" i="1"/>
  <c r="H359" i="1"/>
  <c r="G359" i="1"/>
  <c r="F359" i="1"/>
  <c r="F361" i="1" s="1"/>
  <c r="H360" i="1"/>
  <c r="G360" i="1"/>
  <c r="F360" i="1"/>
  <c r="G89" i="1"/>
  <c r="H23" i="1"/>
  <c r="C60" i="2"/>
  <c r="B2" i="13"/>
  <c r="F8" i="13"/>
  <c r="G8" i="13"/>
  <c r="L196" i="1"/>
  <c r="L214" i="1"/>
  <c r="L232" i="1"/>
  <c r="E8" i="13" s="1"/>
  <c r="D39" i="13"/>
  <c r="F13" i="13"/>
  <c r="G13" i="13"/>
  <c r="L198" i="1"/>
  <c r="L216" i="1"/>
  <c r="L234" i="1"/>
  <c r="F16" i="13"/>
  <c r="G16" i="13"/>
  <c r="L201" i="1"/>
  <c r="L219" i="1"/>
  <c r="L237" i="1"/>
  <c r="F5" i="13"/>
  <c r="D5" i="13" s="1"/>
  <c r="G5" i="13"/>
  <c r="L189" i="1"/>
  <c r="L190" i="1"/>
  <c r="L203" i="1" s="1"/>
  <c r="L191" i="1"/>
  <c r="L192" i="1"/>
  <c r="L207" i="1"/>
  <c r="L208" i="1"/>
  <c r="L209" i="1"/>
  <c r="L210" i="1"/>
  <c r="L225" i="1"/>
  <c r="L226" i="1"/>
  <c r="L227" i="1"/>
  <c r="C103" i="2" s="1"/>
  <c r="L228" i="1"/>
  <c r="C13" i="10" s="1"/>
  <c r="F6" i="13"/>
  <c r="G6" i="13"/>
  <c r="L194" i="1"/>
  <c r="L212" i="1"/>
  <c r="L230" i="1"/>
  <c r="F7" i="13"/>
  <c r="G7" i="13"/>
  <c r="L195" i="1"/>
  <c r="L213" i="1"/>
  <c r="L231" i="1"/>
  <c r="F12" i="13"/>
  <c r="G12" i="13"/>
  <c r="L197" i="1"/>
  <c r="L215" i="1"/>
  <c r="C113" i="2" s="1"/>
  <c r="L233" i="1"/>
  <c r="F14" i="13"/>
  <c r="G14" i="13"/>
  <c r="L199" i="1"/>
  <c r="L217" i="1"/>
  <c r="L235" i="1"/>
  <c r="F15" i="13"/>
  <c r="G15" i="13"/>
  <c r="L200" i="1"/>
  <c r="D15" i="13" s="1"/>
  <c r="C15" i="13" s="1"/>
  <c r="L218" i="1"/>
  <c r="G652" i="1" s="1"/>
  <c r="L236" i="1"/>
  <c r="H652" i="1"/>
  <c r="F17" i="13"/>
  <c r="G17" i="13"/>
  <c r="L243" i="1"/>
  <c r="D17" i="13"/>
  <c r="C17" i="13" s="1"/>
  <c r="F18" i="13"/>
  <c r="G18" i="13"/>
  <c r="L244" i="1"/>
  <c r="F19" i="13"/>
  <c r="G19" i="13"/>
  <c r="L245" i="1"/>
  <c r="D19" i="13"/>
  <c r="C19" i="13" s="1"/>
  <c r="F29" i="13"/>
  <c r="G29" i="13"/>
  <c r="L350" i="1"/>
  <c r="L351" i="1"/>
  <c r="L352" i="1"/>
  <c r="J282" i="1"/>
  <c r="J301" i="1"/>
  <c r="J330" i="1" s="1"/>
  <c r="J320" i="1"/>
  <c r="K282" i="1"/>
  <c r="K301" i="1"/>
  <c r="K330" i="1" s="1"/>
  <c r="K344" i="1" s="1"/>
  <c r="K320" i="1"/>
  <c r="L268" i="1"/>
  <c r="L269" i="1"/>
  <c r="L270" i="1"/>
  <c r="L271" i="1"/>
  <c r="L273" i="1"/>
  <c r="L274" i="1"/>
  <c r="L275" i="1"/>
  <c r="E112" i="2" s="1"/>
  <c r="L276" i="1"/>
  <c r="E113" i="2" s="1"/>
  <c r="L277" i="1"/>
  <c r="L278" i="1"/>
  <c r="E115" i="2" s="1"/>
  <c r="L279" i="1"/>
  <c r="L280" i="1"/>
  <c r="L287" i="1"/>
  <c r="L288" i="1"/>
  <c r="L289" i="1"/>
  <c r="L290" i="1"/>
  <c r="L292" i="1"/>
  <c r="L293" i="1"/>
  <c r="L294" i="1"/>
  <c r="L301" i="1" s="1"/>
  <c r="L295" i="1"/>
  <c r="L296" i="1"/>
  <c r="C19" i="10" s="1"/>
  <c r="L297" i="1"/>
  <c r="L298" i="1"/>
  <c r="L299" i="1"/>
  <c r="L306" i="1"/>
  <c r="L307" i="1"/>
  <c r="L308" i="1"/>
  <c r="L309" i="1"/>
  <c r="L311" i="1"/>
  <c r="L312" i="1"/>
  <c r="L320" i="1" s="1"/>
  <c r="L313" i="1"/>
  <c r="L314" i="1"/>
  <c r="L315" i="1"/>
  <c r="L316" i="1"/>
  <c r="L317" i="1"/>
  <c r="L318" i="1"/>
  <c r="L325" i="1"/>
  <c r="L326" i="1"/>
  <c r="L327" i="1"/>
  <c r="L252" i="1"/>
  <c r="L253" i="1"/>
  <c r="C124" i="2" s="1"/>
  <c r="L333" i="1"/>
  <c r="E123" i="2" s="1"/>
  <c r="E136" i="2" s="1"/>
  <c r="L334" i="1"/>
  <c r="L247" i="1"/>
  <c r="C122" i="2" s="1"/>
  <c r="L328" i="1"/>
  <c r="C11" i="13"/>
  <c r="C10" i="13"/>
  <c r="C9" i="13"/>
  <c r="L353" i="1"/>
  <c r="B4" i="12"/>
  <c r="B36" i="12"/>
  <c r="C36" i="12"/>
  <c r="B40" i="12"/>
  <c r="A40" i="12" s="1"/>
  <c r="B27" i="12"/>
  <c r="C27" i="12"/>
  <c r="B31" i="12"/>
  <c r="C31" i="12"/>
  <c r="B9" i="12"/>
  <c r="B13" i="12"/>
  <c r="B18" i="12"/>
  <c r="B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6" i="1"/>
  <c r="L399" i="1" s="1"/>
  <c r="C132" i="2" s="1"/>
  <c r="L397" i="1"/>
  <c r="L398" i="1"/>
  <c r="L258" i="1"/>
  <c r="J52" i="1"/>
  <c r="G48" i="2"/>
  <c r="G51" i="2"/>
  <c r="G53" i="2"/>
  <c r="G54" i="2" s="1"/>
  <c r="G55" i="2" s="1"/>
  <c r="G96" i="2" s="1"/>
  <c r="F2" i="11"/>
  <c r="L603" i="1"/>
  <c r="H653" i="1" s="1"/>
  <c r="L602" i="1"/>
  <c r="G653" i="1"/>
  <c r="F653" i="1"/>
  <c r="L601" i="1"/>
  <c r="C40" i="10"/>
  <c r="F52" i="1"/>
  <c r="C48" i="2"/>
  <c r="G52" i="1"/>
  <c r="D48" i="2" s="1"/>
  <c r="D55" i="2" s="1"/>
  <c r="H52" i="1"/>
  <c r="E48" i="2"/>
  <c r="E49" i="2"/>
  <c r="E51" i="2"/>
  <c r="E53" i="2"/>
  <c r="E71" i="2"/>
  <c r="E72" i="2"/>
  <c r="E68" i="2"/>
  <c r="E70" i="2" s="1"/>
  <c r="E69" i="2"/>
  <c r="E61" i="2"/>
  <c r="E62" i="2" s="1"/>
  <c r="E79" i="2"/>
  <c r="E80" i="2"/>
  <c r="E81" i="2"/>
  <c r="E88" i="2"/>
  <c r="E95" i="2" s="1"/>
  <c r="E89" i="2"/>
  <c r="E90" i="2"/>
  <c r="E91" i="2"/>
  <c r="E92" i="2"/>
  <c r="E93" i="2"/>
  <c r="E94" i="2"/>
  <c r="I52" i="1"/>
  <c r="F71" i="1"/>
  <c r="F86" i="1"/>
  <c r="C50" i="2" s="1"/>
  <c r="C54" i="2" s="1"/>
  <c r="F103" i="1"/>
  <c r="F104" i="1" s="1"/>
  <c r="F185" i="1" s="1"/>
  <c r="G617" i="1" s="1"/>
  <c r="J617" i="1" s="1"/>
  <c r="G103" i="1"/>
  <c r="H71" i="1"/>
  <c r="H86" i="1"/>
  <c r="E50" i="2" s="1"/>
  <c r="H103" i="1"/>
  <c r="I103" i="1"/>
  <c r="I104" i="1"/>
  <c r="J103" i="1"/>
  <c r="J104" i="1" s="1"/>
  <c r="J185" i="1" s="1"/>
  <c r="C37" i="10"/>
  <c r="F113" i="1"/>
  <c r="F128" i="1"/>
  <c r="G113" i="1"/>
  <c r="G132" i="1" s="1"/>
  <c r="G128" i="1"/>
  <c r="H113" i="1"/>
  <c r="H132" i="1" s="1"/>
  <c r="H128" i="1"/>
  <c r="I113" i="1"/>
  <c r="I132" i="1" s="1"/>
  <c r="I128" i="1"/>
  <c r="J113" i="1"/>
  <c r="J128" i="1"/>
  <c r="F139" i="1"/>
  <c r="C77" i="2" s="1"/>
  <c r="C83" i="2" s="1"/>
  <c r="F154" i="1"/>
  <c r="F161" i="1" s="1"/>
  <c r="G139" i="1"/>
  <c r="D77" i="2" s="1"/>
  <c r="D83" i="2" s="1"/>
  <c r="G154" i="1"/>
  <c r="H139" i="1"/>
  <c r="E77" i="2" s="1"/>
  <c r="E83" i="2" s="1"/>
  <c r="H154" i="1"/>
  <c r="I139" i="1"/>
  <c r="I161" i="1" s="1"/>
  <c r="I154" i="1"/>
  <c r="C10" i="10"/>
  <c r="C17" i="10"/>
  <c r="L242" i="1"/>
  <c r="L324" i="1"/>
  <c r="E105" i="2" s="1"/>
  <c r="L246" i="1"/>
  <c r="L260" i="1"/>
  <c r="L261" i="1"/>
  <c r="L341" i="1"/>
  <c r="L342" i="1"/>
  <c r="I655" i="1"/>
  <c r="I660" i="1"/>
  <c r="G651" i="1"/>
  <c r="I659" i="1"/>
  <c r="C42" i="10"/>
  <c r="L366" i="1"/>
  <c r="L367" i="1"/>
  <c r="L368" i="1"/>
  <c r="F122" i="2" s="1"/>
  <c r="F136" i="2" s="1"/>
  <c r="L369" i="1"/>
  <c r="L370" i="1"/>
  <c r="L374" i="1" s="1"/>
  <c r="G626" i="1" s="1"/>
  <c r="J626" i="1" s="1"/>
  <c r="L371" i="1"/>
  <c r="L372" i="1"/>
  <c r="B2" i="10"/>
  <c r="L336" i="1"/>
  <c r="L337" i="1"/>
  <c r="L338" i="1"/>
  <c r="L339" i="1"/>
  <c r="K343" i="1"/>
  <c r="L511" i="1"/>
  <c r="F539" i="1"/>
  <c r="L512" i="1"/>
  <c r="F540" i="1"/>
  <c r="L513" i="1"/>
  <c r="F541" i="1" s="1"/>
  <c r="L516" i="1"/>
  <c r="G539" i="1" s="1"/>
  <c r="L518" i="1"/>
  <c r="G541" i="1" s="1"/>
  <c r="L521" i="1"/>
  <c r="H539" i="1"/>
  <c r="L523" i="1"/>
  <c r="H541" i="1" s="1"/>
  <c r="L526" i="1"/>
  <c r="I539" i="1" s="1"/>
  <c r="L527" i="1"/>
  <c r="I540" i="1"/>
  <c r="L528" i="1"/>
  <c r="I541" i="1" s="1"/>
  <c r="L531" i="1"/>
  <c r="J539" i="1"/>
  <c r="L532" i="1"/>
  <c r="J540" i="1"/>
  <c r="L533" i="1"/>
  <c r="J541" i="1" s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F9" i="2"/>
  <c r="I431" i="1"/>
  <c r="J9" i="1" s="1"/>
  <c r="C10" i="2"/>
  <c r="C19" i="2" s="1"/>
  <c r="D10" i="2"/>
  <c r="E10" i="2"/>
  <c r="F10" i="2"/>
  <c r="F19" i="2" s="1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F14" i="2"/>
  <c r="F15" i="2"/>
  <c r="F16" i="2"/>
  <c r="F17" i="2"/>
  <c r="F18" i="2"/>
  <c r="I434" i="1"/>
  <c r="J13" i="1" s="1"/>
  <c r="G13" i="2" s="1"/>
  <c r="C14" i="2"/>
  <c r="D14" i="2"/>
  <c r="E14" i="2"/>
  <c r="I435" i="1"/>
  <c r="J14" i="1" s="1"/>
  <c r="G14" i="2" s="1"/>
  <c r="C16" i="2"/>
  <c r="D16" i="2"/>
  <c r="E16" i="2"/>
  <c r="E19" i="2" s="1"/>
  <c r="C17" i="2"/>
  <c r="D17" i="2"/>
  <c r="E17" i="2"/>
  <c r="I436" i="1"/>
  <c r="J17" i="1"/>
  <c r="G17" i="2" s="1"/>
  <c r="C18" i="2"/>
  <c r="D18" i="2"/>
  <c r="E18" i="2"/>
  <c r="I437" i="1"/>
  <c r="J18" i="1" s="1"/>
  <c r="G18" i="2" s="1"/>
  <c r="D19" i="2"/>
  <c r="C22" i="2"/>
  <c r="D22" i="2"/>
  <c r="D32" i="2" s="1"/>
  <c r="E22" i="2"/>
  <c r="F22" i="2"/>
  <c r="I440" i="1"/>
  <c r="J23" i="1"/>
  <c r="C23" i="2"/>
  <c r="D23" i="2"/>
  <c r="E23" i="2"/>
  <c r="F23" i="2"/>
  <c r="I441" i="1"/>
  <c r="J24" i="1" s="1"/>
  <c r="C24" i="2"/>
  <c r="C32" i="2" s="1"/>
  <c r="D24" i="2"/>
  <c r="E24" i="2"/>
  <c r="F24" i="2"/>
  <c r="I442" i="1"/>
  <c r="J25" i="1" s="1"/>
  <c r="G24" i="2" s="1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E34" i="2"/>
  <c r="E42" i="2" s="1"/>
  <c r="E43" i="2" s="1"/>
  <c r="F34" i="2"/>
  <c r="C35" i="2"/>
  <c r="D35" i="2"/>
  <c r="E35" i="2"/>
  <c r="F35" i="2"/>
  <c r="C36" i="2"/>
  <c r="D36" i="2"/>
  <c r="D42" i="2" s="1"/>
  <c r="E36" i="2"/>
  <c r="F36" i="2"/>
  <c r="F42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F41" i="2"/>
  <c r="I449" i="1"/>
  <c r="J41" i="1"/>
  <c r="G40" i="2" s="1"/>
  <c r="C41" i="2"/>
  <c r="D41" i="2"/>
  <c r="E41" i="2"/>
  <c r="F48" i="2"/>
  <c r="C49" i="2"/>
  <c r="C51" i="2"/>
  <c r="D51" i="2"/>
  <c r="F51" i="2"/>
  <c r="D52" i="2"/>
  <c r="C53" i="2"/>
  <c r="D53" i="2"/>
  <c r="D54" i="2" s="1"/>
  <c r="F53" i="2"/>
  <c r="C58" i="2"/>
  <c r="C62" i="2" s="1"/>
  <c r="C59" i="2"/>
  <c r="C61" i="2"/>
  <c r="D61" i="2"/>
  <c r="F61" i="2"/>
  <c r="F62" i="2" s="1"/>
  <c r="F73" i="2" s="1"/>
  <c r="G61" i="2"/>
  <c r="G62" i="2" s="1"/>
  <c r="G73" i="2" s="1"/>
  <c r="G69" i="2"/>
  <c r="G70" i="2"/>
  <c r="D62" i="2"/>
  <c r="C64" i="2"/>
  <c r="C70" i="2" s="1"/>
  <c r="C73" i="2" s="1"/>
  <c r="F64" i="2"/>
  <c r="C65" i="2"/>
  <c r="F65" i="2"/>
  <c r="C66" i="2"/>
  <c r="C67" i="2"/>
  <c r="C68" i="2"/>
  <c r="F68" i="2"/>
  <c r="C69" i="2"/>
  <c r="D69" i="2"/>
  <c r="D70" i="2" s="1"/>
  <c r="D73" i="2" s="1"/>
  <c r="D71" i="2"/>
  <c r="F69" i="2"/>
  <c r="C71" i="2"/>
  <c r="C72" i="2"/>
  <c r="F77" i="2"/>
  <c r="C79" i="2"/>
  <c r="F79" i="2"/>
  <c r="C80" i="2"/>
  <c r="D80" i="2"/>
  <c r="F80" i="2"/>
  <c r="C81" i="2"/>
  <c r="D81" i="2"/>
  <c r="F81" i="2"/>
  <c r="C82" i="2"/>
  <c r="C85" i="2"/>
  <c r="F85" i="2"/>
  <c r="C86" i="2"/>
  <c r="F86" i="2"/>
  <c r="D88" i="2"/>
  <c r="F88" i="2"/>
  <c r="F95" i="2" s="1"/>
  <c r="G88" i="2"/>
  <c r="G95" i="2" s="1"/>
  <c r="C89" i="2"/>
  <c r="D89" i="2"/>
  <c r="D95" i="2" s="1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C101" i="2"/>
  <c r="E101" i="2"/>
  <c r="E103" i="2"/>
  <c r="C104" i="2"/>
  <c r="C105" i="2"/>
  <c r="C106" i="2"/>
  <c r="D107" i="2"/>
  <c r="F107" i="2"/>
  <c r="G107" i="2"/>
  <c r="C110" i="2"/>
  <c r="E110" i="2"/>
  <c r="C111" i="2"/>
  <c r="C112" i="2"/>
  <c r="C114" i="2"/>
  <c r="C115" i="2"/>
  <c r="E116" i="2"/>
  <c r="C117" i="2"/>
  <c r="E117" i="2"/>
  <c r="D119" i="2"/>
  <c r="D120" i="2"/>
  <c r="D137" i="2" s="1"/>
  <c r="F120" i="2"/>
  <c r="F137" i="2" s="1"/>
  <c r="G120" i="2"/>
  <c r="G137" i="2" s="1"/>
  <c r="E122" i="2"/>
  <c r="F126" i="2"/>
  <c r="D126" i="2"/>
  <c r="E126" i="2"/>
  <c r="K411" i="1"/>
  <c r="K419" i="1"/>
  <c r="K425" i="1"/>
  <c r="K426" i="1" s="1"/>
  <c r="G126" i="2" s="1"/>
  <c r="G136" i="2" s="1"/>
  <c r="L255" i="1"/>
  <c r="C127" i="2" s="1"/>
  <c r="E127" i="2"/>
  <c r="L256" i="1"/>
  <c r="C128" i="2" s="1"/>
  <c r="L257" i="1"/>
  <c r="C129" i="2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G153" i="2" s="1"/>
  <c r="H490" i="1"/>
  <c r="D153" i="2"/>
  <c r="I490" i="1"/>
  <c r="E153" i="2" s="1"/>
  <c r="J490" i="1"/>
  <c r="F153" i="2"/>
  <c r="B154" i="2"/>
  <c r="C154" i="2"/>
  <c r="D154" i="2"/>
  <c r="E154" i="2"/>
  <c r="F154" i="2"/>
  <c r="G154" i="2" s="1"/>
  <c r="B155" i="2"/>
  <c r="G155" i="2" s="1"/>
  <c r="C155" i="2"/>
  <c r="D155" i="2"/>
  <c r="E155" i="2"/>
  <c r="F155" i="2"/>
  <c r="F493" i="1"/>
  <c r="B156" i="2" s="1"/>
  <c r="D156" i="2"/>
  <c r="E156" i="2"/>
  <c r="F156" i="2"/>
  <c r="G493" i="1"/>
  <c r="C156" i="2" s="1"/>
  <c r="H493" i="1"/>
  <c r="I493" i="1"/>
  <c r="J493" i="1"/>
  <c r="F19" i="1"/>
  <c r="G607" i="1" s="1"/>
  <c r="G19" i="1"/>
  <c r="H19" i="1"/>
  <c r="G609" i="1"/>
  <c r="I19" i="1"/>
  <c r="G610" i="1" s="1"/>
  <c r="F33" i="1"/>
  <c r="G33" i="1"/>
  <c r="H33" i="1"/>
  <c r="H44" i="1" s="1"/>
  <c r="H609" i="1" s="1"/>
  <c r="J609" i="1" s="1"/>
  <c r="I33" i="1"/>
  <c r="F43" i="1"/>
  <c r="F44" i="1" s="1"/>
  <c r="H607" i="1" s="1"/>
  <c r="G43" i="1"/>
  <c r="H43" i="1"/>
  <c r="I43" i="1"/>
  <c r="I44" i="1" s="1"/>
  <c r="H610" i="1" s="1"/>
  <c r="F169" i="1"/>
  <c r="F184" i="1" s="1"/>
  <c r="I169" i="1"/>
  <c r="F175" i="1"/>
  <c r="G175" i="1"/>
  <c r="H175" i="1"/>
  <c r="I175" i="1"/>
  <c r="J175" i="1"/>
  <c r="J184" i="1"/>
  <c r="F180" i="1"/>
  <c r="G180" i="1"/>
  <c r="G184" i="1" s="1"/>
  <c r="H180" i="1"/>
  <c r="I180" i="1"/>
  <c r="I184" i="1" s="1"/>
  <c r="F203" i="1"/>
  <c r="G203" i="1"/>
  <c r="H203" i="1"/>
  <c r="I203" i="1"/>
  <c r="J203" i="1"/>
  <c r="K203" i="1"/>
  <c r="K249" i="1" s="1"/>
  <c r="K263" i="1" s="1"/>
  <c r="F221" i="1"/>
  <c r="F249" i="1" s="1"/>
  <c r="F263" i="1" s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H282" i="1"/>
  <c r="I282" i="1"/>
  <c r="I330" i="1" s="1"/>
  <c r="I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F330" i="1"/>
  <c r="F344" i="1" s="1"/>
  <c r="F354" i="1"/>
  <c r="G354" i="1"/>
  <c r="H354" i="1"/>
  <c r="I354" i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G393" i="1"/>
  <c r="G400" i="1" s="1"/>
  <c r="H635" i="1" s="1"/>
  <c r="J635" i="1" s="1"/>
  <c r="H393" i="1"/>
  <c r="I393" i="1"/>
  <c r="I400" i="1" s="1"/>
  <c r="F399" i="1"/>
  <c r="F400" i="1" s="1"/>
  <c r="H633" i="1" s="1"/>
  <c r="J633" i="1" s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J426" i="1" s="1"/>
  <c r="L421" i="1"/>
  <c r="L422" i="1"/>
  <c r="L423" i="1"/>
  <c r="L424" i="1"/>
  <c r="F425" i="1"/>
  <c r="G425" i="1"/>
  <c r="H425" i="1"/>
  <c r="I425" i="1"/>
  <c r="I426" i="1" s="1"/>
  <c r="J425" i="1"/>
  <c r="F438" i="1"/>
  <c r="G629" i="1" s="1"/>
  <c r="J629" i="1" s="1"/>
  <c r="G438" i="1"/>
  <c r="G630" i="1" s="1"/>
  <c r="H438" i="1"/>
  <c r="G631" i="1"/>
  <c r="J631" i="1" s="1"/>
  <c r="F444" i="1"/>
  <c r="G444" i="1"/>
  <c r="G451" i="1" s="1"/>
  <c r="H630" i="1" s="1"/>
  <c r="H444" i="1"/>
  <c r="F450" i="1"/>
  <c r="G450" i="1"/>
  <c r="H450" i="1"/>
  <c r="F451" i="1"/>
  <c r="H451" i="1"/>
  <c r="H631" i="1" s="1"/>
  <c r="F460" i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H535" i="1" s="1"/>
  <c r="I519" i="1"/>
  <c r="I535" i="1" s="1"/>
  <c r="J519" i="1"/>
  <c r="K519" i="1"/>
  <c r="F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K535" i="1"/>
  <c r="L547" i="1"/>
  <c r="L550" i="1" s="1"/>
  <c r="L561" i="1" s="1"/>
  <c r="L548" i="1"/>
  <c r="L549" i="1"/>
  <c r="F550" i="1"/>
  <c r="G550" i="1"/>
  <c r="G561" i="1"/>
  <c r="H550" i="1"/>
  <c r="I550" i="1"/>
  <c r="I561" i="1" s="1"/>
  <c r="J550" i="1"/>
  <c r="K550" i="1"/>
  <c r="K561" i="1" s="1"/>
  <c r="L552" i="1"/>
  <c r="L553" i="1"/>
  <c r="L554" i="1"/>
  <c r="F555" i="1"/>
  <c r="G555" i="1"/>
  <c r="H555" i="1"/>
  <c r="H561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2" i="1"/>
  <c r="G613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3" i="1"/>
  <c r="G634" i="1"/>
  <c r="G641" i="1"/>
  <c r="G642" i="1"/>
  <c r="J642" i="1" s="1"/>
  <c r="H642" i="1"/>
  <c r="G643" i="1"/>
  <c r="H643" i="1"/>
  <c r="G644" i="1"/>
  <c r="H644" i="1"/>
  <c r="J644" i="1" s="1"/>
  <c r="G645" i="1"/>
  <c r="H645" i="1"/>
  <c r="J645" i="1"/>
  <c r="I466" i="1"/>
  <c r="H615" i="1"/>
  <c r="H426" i="1"/>
  <c r="L425" i="1"/>
  <c r="G426" i="1"/>
  <c r="H651" i="1"/>
  <c r="L354" i="1"/>
  <c r="G625" i="1"/>
  <c r="J625" i="1" s="1"/>
  <c r="E106" i="2"/>
  <c r="C26" i="10"/>
  <c r="L343" i="1"/>
  <c r="H25" i="13"/>
  <c r="C25" i="13" s="1"/>
  <c r="D18" i="13"/>
  <c r="C18" i="13" s="1"/>
  <c r="C15" i="10"/>
  <c r="A31" i="12"/>
  <c r="D6" i="13"/>
  <c r="C6" i="13" s="1"/>
  <c r="J249" i="1"/>
  <c r="I249" i="1"/>
  <c r="I263" i="1" s="1"/>
  <c r="G249" i="1"/>
  <c r="G263" i="1" s="1"/>
  <c r="E16" i="13"/>
  <c r="C16" i="13"/>
  <c r="D14" i="13"/>
  <c r="C14" i="13" s="1"/>
  <c r="E13" i="13"/>
  <c r="C13" i="13"/>
  <c r="D7" i="13"/>
  <c r="C7" i="13" s="1"/>
  <c r="H184" i="1"/>
  <c r="J643" i="1"/>
  <c r="C95" i="2"/>
  <c r="F83" i="2"/>
  <c r="H161" i="1"/>
  <c r="F70" i="2"/>
  <c r="J132" i="1"/>
  <c r="F132" i="1"/>
  <c r="F54" i="2"/>
  <c r="G104" i="1"/>
  <c r="G614" i="1"/>
  <c r="E32" i="2"/>
  <c r="G44" i="1"/>
  <c r="H608" i="1"/>
  <c r="J608" i="1" s="1"/>
  <c r="G22" i="2"/>
  <c r="F55" i="2"/>
  <c r="G635" i="1"/>
  <c r="E102" i="2"/>
  <c r="F652" i="1"/>
  <c r="F651" i="1"/>
  <c r="I651" i="1" s="1"/>
  <c r="C24" i="10"/>
  <c r="C27" i="10"/>
  <c r="J263" i="1"/>
  <c r="F466" i="1"/>
  <c r="H612" i="1"/>
  <c r="J612" i="1"/>
  <c r="K588" i="1"/>
  <c r="G637" i="1"/>
  <c r="L555" i="1"/>
  <c r="J535" i="1"/>
  <c r="E104" i="2"/>
  <c r="E107" i="2" s="1"/>
  <c r="F96" i="2" l="1"/>
  <c r="G23" i="2"/>
  <c r="G32" i="2" s="1"/>
  <c r="J33" i="1"/>
  <c r="I542" i="1"/>
  <c r="C5" i="13"/>
  <c r="J613" i="1"/>
  <c r="F43" i="2"/>
  <c r="K541" i="1"/>
  <c r="J607" i="1"/>
  <c r="I185" i="1"/>
  <c r="G620" i="1" s="1"/>
  <c r="J620" i="1" s="1"/>
  <c r="J614" i="1"/>
  <c r="J630" i="1"/>
  <c r="G36" i="2"/>
  <c r="G42" i="2" s="1"/>
  <c r="J43" i="1"/>
  <c r="J542" i="1"/>
  <c r="C55" i="2"/>
  <c r="C96" i="2" s="1"/>
  <c r="G9" i="2"/>
  <c r="G19" i="2" s="1"/>
  <c r="J19" i="1"/>
  <c r="G611" i="1" s="1"/>
  <c r="E54" i="2"/>
  <c r="E55" i="2" s="1"/>
  <c r="E96" i="2" s="1"/>
  <c r="D96" i="2"/>
  <c r="C43" i="2"/>
  <c r="K539" i="1"/>
  <c r="G542" i="1"/>
  <c r="J344" i="1"/>
  <c r="H638" i="1"/>
  <c r="C38" i="10"/>
  <c r="J638" i="1"/>
  <c r="D43" i="2"/>
  <c r="E73" i="2"/>
  <c r="I652" i="1"/>
  <c r="J610" i="1"/>
  <c r="G156" i="2"/>
  <c r="G621" i="1"/>
  <c r="J621" i="1" s="1"/>
  <c r="G636" i="1"/>
  <c r="I653" i="1"/>
  <c r="L400" i="1"/>
  <c r="C130" i="2"/>
  <c r="C133" i="2" s="1"/>
  <c r="C8" i="13"/>
  <c r="E33" i="13"/>
  <c r="D35" i="13" s="1"/>
  <c r="D12" i="13"/>
  <c r="C12" i="13" s="1"/>
  <c r="C102" i="2"/>
  <c r="C107" i="2" s="1"/>
  <c r="E111" i="2"/>
  <c r="F542" i="1"/>
  <c r="C35" i="10"/>
  <c r="L522" i="1"/>
  <c r="C12" i="10"/>
  <c r="L282" i="1"/>
  <c r="C16" i="10"/>
  <c r="C21" i="10"/>
  <c r="K493" i="1"/>
  <c r="I359" i="1"/>
  <c r="F31" i="13"/>
  <c r="C18" i="10"/>
  <c r="H104" i="1"/>
  <c r="H185" i="1" s="1"/>
  <c r="G619" i="1" s="1"/>
  <c r="J619" i="1" s="1"/>
  <c r="C23" i="10"/>
  <c r="C29" i="10"/>
  <c r="L514" i="1"/>
  <c r="I450" i="1"/>
  <c r="C20" i="10"/>
  <c r="C11" i="10"/>
  <c r="G640" i="1"/>
  <c r="J640" i="1" s="1"/>
  <c r="L604" i="1"/>
  <c r="C32" i="10"/>
  <c r="H33" i="13"/>
  <c r="L221" i="1"/>
  <c r="G650" i="1" s="1"/>
  <c r="G654" i="1" s="1"/>
  <c r="L529" i="1"/>
  <c r="C25" i="10"/>
  <c r="G639" i="1"/>
  <c r="J639" i="1" s="1"/>
  <c r="I444" i="1"/>
  <c r="C116" i="2"/>
  <c r="C120" i="2" s="1"/>
  <c r="F22" i="13"/>
  <c r="C22" i="13" s="1"/>
  <c r="G31" i="13"/>
  <c r="G33" i="13" s="1"/>
  <c r="H637" i="1"/>
  <c r="J637" i="1" s="1"/>
  <c r="L519" i="1"/>
  <c r="E114" i="2"/>
  <c r="G161" i="1"/>
  <c r="G185" i="1" s="1"/>
  <c r="G618" i="1" s="1"/>
  <c r="J618" i="1" s="1"/>
  <c r="L239" i="1"/>
  <c r="H650" i="1" s="1"/>
  <c r="H654" i="1" s="1"/>
  <c r="G615" i="1"/>
  <c r="J615" i="1" s="1"/>
  <c r="I438" i="1"/>
  <c r="G632" i="1" s="1"/>
  <c r="C39" i="10" l="1"/>
  <c r="J44" i="1"/>
  <c r="H611" i="1" s="1"/>
  <c r="G616" i="1"/>
  <c r="J616" i="1" s="1"/>
  <c r="H657" i="1"/>
  <c r="H662" i="1"/>
  <c r="C6" i="10" s="1"/>
  <c r="G662" i="1"/>
  <c r="C5" i="10" s="1"/>
  <c r="G657" i="1"/>
  <c r="D18" i="10"/>
  <c r="E120" i="2"/>
  <c r="E137" i="2" s="1"/>
  <c r="G43" i="2"/>
  <c r="F33" i="13"/>
  <c r="H636" i="1"/>
  <c r="G627" i="1"/>
  <c r="J627" i="1" s="1"/>
  <c r="C137" i="2"/>
  <c r="I361" i="1"/>
  <c r="H624" i="1" s="1"/>
  <c r="J624" i="1" s="1"/>
  <c r="D29" i="13"/>
  <c r="L330" i="1"/>
  <c r="L344" i="1" s="1"/>
  <c r="G623" i="1" s="1"/>
  <c r="J623" i="1" s="1"/>
  <c r="D31" i="13"/>
  <c r="C31" i="13" s="1"/>
  <c r="F650" i="1"/>
  <c r="D21" i="10"/>
  <c r="C28" i="10"/>
  <c r="D11" i="10"/>
  <c r="D16" i="10"/>
  <c r="I451" i="1"/>
  <c r="H632" i="1" s="1"/>
  <c r="J632" i="1" s="1"/>
  <c r="L535" i="1"/>
  <c r="D12" i="10"/>
  <c r="J636" i="1"/>
  <c r="L249" i="1"/>
  <c r="L263" i="1" s="1"/>
  <c r="G622" i="1" s="1"/>
  <c r="J622" i="1" s="1"/>
  <c r="J611" i="1"/>
  <c r="H540" i="1"/>
  <c r="L524" i="1"/>
  <c r="C136" i="2"/>
  <c r="D25" i="10"/>
  <c r="D23" i="10"/>
  <c r="C36" i="10"/>
  <c r="C41" i="10"/>
  <c r="D35" i="10"/>
  <c r="H542" i="1" l="1"/>
  <c r="K540" i="1"/>
  <c r="K542" i="1" s="1"/>
  <c r="I650" i="1"/>
  <c r="I654" i="1" s="1"/>
  <c r="F654" i="1"/>
  <c r="D36" i="10"/>
  <c r="D37" i="10"/>
  <c r="D40" i="10"/>
  <c r="D39" i="10"/>
  <c r="D41" i="10" s="1"/>
  <c r="C29" i="13"/>
  <c r="D33" i="13"/>
  <c r="D36" i="13" s="1"/>
  <c r="D38" i="10"/>
  <c r="D15" i="10"/>
  <c r="C30" i="10"/>
  <c r="D22" i="10"/>
  <c r="D10" i="10"/>
  <c r="D24" i="10"/>
  <c r="D27" i="10"/>
  <c r="D26" i="10"/>
  <c r="D17" i="10"/>
  <c r="D13" i="10"/>
  <c r="D19" i="10"/>
  <c r="D20" i="10"/>
  <c r="H646" i="1"/>
  <c r="F657" i="1" l="1"/>
  <c r="F662" i="1"/>
  <c r="C4" i="10" s="1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A1477F2-8285-4D38-BEBD-0E66EBF9CD9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700A07A-F478-42FE-92B9-A79E35BF086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1F356E2-7CFB-42F5-BA80-05FD4A906C0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FD9B49E-42AD-4612-B1F2-5BAB57C212D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36F81F7-F5D1-40CB-AA4A-89957E98230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D0C9461-1CB2-45A3-A667-529EA325A3D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D024D5E-0671-45B3-B4FB-1E1DDCD4CCB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1862713-21D4-44E8-81AF-8A537BA907C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4001CB8-AD22-4797-AEAC-286DF8B24D0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B4D38A8-99EE-4903-AE9F-1B55BCFA06F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4A12797-76BE-4DE1-91A3-51406247F9E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A08813E-B9D0-46EB-84F6-05C15A32BEB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<sst xmlns="http://schemas.openxmlformats.org/spreadsheetml/2006/main" count="3862" uniqueCount="899">
  <si>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</si>
  <si>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</si>
  <si>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</si>
  <si>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</si>
  <si>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</si>
  <si>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</si>
  <si>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</si>
  <si>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</si>
  <si>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</si>
  <si>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</si>
  <si>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</si>
  <si>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</si>
  <si>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</si>
  <si>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</si>
  <si>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</si>
  <si>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</si>
  <si>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</si>
  <si>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</si>
  <si>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</si>
  <si>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</si>
  <si>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</si>
  <si>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</si>
  <si>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</si>
  <si>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</si>
  <si>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</si>
  <si>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</si>
  <si>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</si>
  <si>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</si>
  <si>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</si>
  <si>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</si>
  <si>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</si>
  <si>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</si>
  <si>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</si>
  <si>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</si>
  <si>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</si>
  <si>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</si>
  <si>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</si>
  <si>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</si>
  <si>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</si>
  <si>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</si>
  <si>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</si>
  <si>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</si>
  <si>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</si>
  <si>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</si>
  <si>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</si>
  <si>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</si>
  <si>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</si>
  <si>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</si>
  <si>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</si>
  <si>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</si>
  <si>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</si>
  <si>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</si>
  <si>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</si>
  <si>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</si>
  <si>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</si>
  <si>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</si>
  <si>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</si>
  <si>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</si>
  <si>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</si>
  <si>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</si>
  <si>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</si>
  <si>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</si>
  <si>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</si>
  <si>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</si>
  <si>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</si>
  <si>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</si>
  <si>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</si>
  <si>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</si>
  <si>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</si>
  <si>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</si>
  <si>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</si>
  <si>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</si>
  <si>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</si>
  <si>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</si>
  <si>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</si>
  <si>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</si>
  <si>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</si>
  <si>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</si>
  <si>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</si>
  <si>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</si>
  <si>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</si>
  <si>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</si>
  <si>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</si>
  <si>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</si>
  <si>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</si>
  <si>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</si>
  <si>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</si>
  <si>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</si>
  <si>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</si>
  <si>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</si>
  <si>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</si>
  <si>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</si>
  <si>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</si>
  <si>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</si>
  <si>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</si>
  <si>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</si>
  <si>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</si>
  <si>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</si>
  <si>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</si>
  <si>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</si>
  <si>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</si>
  <si>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</si>
  <si>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</si>
  <si>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</si>
  <si>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</si>
  <si>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</si>
  <si>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</si>
  <si>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</si>
  <si>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</si>
  <si>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</si>
  <si>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</si>
  <si>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</si>
  <si>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</si>
  <si>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</si>
  <si>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</si>
  <si>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</si>
  <si>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</si>
  <si>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</si>
  <si>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</si>
  <si>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</si>
  <si>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</si>
  <si>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</si>
  <si>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</si>
  <si>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</si>
  <si>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</si>
  <si>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</si>
  <si>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</si>
  <si>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</si>
  <si>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</si>
  <si>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</si>
  <si>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</si>
  <si>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</si>
  <si>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</si>
  <si>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</si>
  <si>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</si>
  <si>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</si>
  <si>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</si>
  <si>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</si>
  <si>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</si>
  <si>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</si>
  <si>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</si>
  <si>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</si>
  <si>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</si>
  <si>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</si>
  <si>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</si>
  <si>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</si>
  <si>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</si>
  <si>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</si>
  <si>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</si>
  <si>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</si>
  <si>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</si>
  <si>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</si>
  <si>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</si>
  <si>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</si>
  <si>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</si>
  <si>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</si>
  <si>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</si>
  <si>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</si>
  <si>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</si>
  <si>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</si>
  <si>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</si>
  <si>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</si>
  <si>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</si>
  <si>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</si>
  <si>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</si>
  <si>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</si>
  <si>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</si>
  <si>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</si>
  <si>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</si>
  <si>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</si>
  <si>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</si>
  <si>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</si>
  <si>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</si>
  <si>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</si>
  <si>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</si>
  <si>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</si>
  <si>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</si>
  <si>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</si>
  <si>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</si>
  <si>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</si>
  <si>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</si>
  <si>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</si>
  <si>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</si>
  <si>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</si>
  <si>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</si>
  <si>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</si>
  <si>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</si>
  <si>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</si>
  <si>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</si>
  <si>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</si>
  <si>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</si>
  <si>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</si>
  <si>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</si>
  <si>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</si>
  <si>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</si>
  <si>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</si>
  <si>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</si>
  <si>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</si>
  <si>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</si>
  <si>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</si>
  <si>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</si>
  <si>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</si>
  <si>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</si>
  <si>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</si>
  <si>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</si>
  <si>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</si>
  <si>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</si>
  <si>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</si>
  <si>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</si>
  <si>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</si>
  <si>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</si>
  <si>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</si>
  <si>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</si>
  <si>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</si>
  <si>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</si>
  <si>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</si>
  <si>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</si>
  <si>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</si>
  <si>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</si>
  <si>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</si>
  <si>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</si>
  <si>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</si>
  <si>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</si>
  <si>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</si>
  <si>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</si>
  <si>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</si>
  <si>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</si>
  <si>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</si>
  <si>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</si>
  <si>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</si>
  <si>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</si>
  <si>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</si>
  <si>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</si>
  <si>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</si>
  <si>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</si>
  <si>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</si>
  <si>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</si>
  <si>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</si>
  <si>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</si>
  <si>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</si>
  <si>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</si>
  <si>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</si>
  <si>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</si>
  <si>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</si>
  <si>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</si>
  <si>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</si>
  <si>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</si>
  <si>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</si>
  <si>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</si>
  <si>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</si>
  <si>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</si>
  <si>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</si>
  <si>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</si>
  <si>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</si>
  <si>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</si>
  <si>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</si>
  <si>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</si>
  <si>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</si>
  <si>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</si>
  <si>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</si>
  <si>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</si>
  <si>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</si>
  <si>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</si>
  <si>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</si>
  <si>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</si>
  <si>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</si>
  <si>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</si>
  <si>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</si>
  <si>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</si>
  <si>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</si>
  <si>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</si>
  <si>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</si>
  <si>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</si>
  <si>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</si>
  <si>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</si>
  <si>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</si>
  <si>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</si>
  <si>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</si>
  <si>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</si>
  <si>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</si>
  <si>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</si>
  <si>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</si>
  <si>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</si>
  <si>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</si>
  <si>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</si>
  <si>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</si>
  <si>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</si>
  <si>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</si>
  <si>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</si>
  <si>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</si>
  <si>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</si>
  <si>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</si>
  <si>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</si>
  <si>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</si>
  <si>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</si>
  <si>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</si>
  <si>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</si>
  <si>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</si>
  <si>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</si>
  <si>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</si>
  <si>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</si>
  <si>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</si>
  <si>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</si>
  <si>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</si>
  <si>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</si>
  <si>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</si>
  <si>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</si>
  <si>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</si>
  <si>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</si>
  <si>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</si>
  <si>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</si>
  <si>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</si>
  <si>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</si>
  <si>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</si>
  <si>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</si>
  <si>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</si>
  <si>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</si>
  <si>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</si>
  <si>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</si>
  <si>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</si>
  <si>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</si>
  <si>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</si>
  <si>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</si>
  <si>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</si>
  <si>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</si>
  <si>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</si>
  <si>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</si>
  <si>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</si>
  <si>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</si>
  <si>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</si>
  <si>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</si>
  <si>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</si>
  <si>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</si>
  <si>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</si>
  <si>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</si>
  <si>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</si>
  <si>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</si>
  <si>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</si>
  <si>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</si>
  <si>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</si>
  <si>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</si>
  <si>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</si>
  <si>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</si>
  <si>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</si>
  <si>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</si>
  <si>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</si>
  <si>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</si>
  <si>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</si>
  <si>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</si>
  <si>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</si>
  <si>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</si>
  <si>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</si>
  <si>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</si>
  <si>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</si>
  <si>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</si>
  <si>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</si>
  <si>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</si>
  <si>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</si>
  <si>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</si>
  <si>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</si>
  <si>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</si>
  <si>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</si>
  <si>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</si>
  <si>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</si>
  <si>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</si>
  <si>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</si>
  <si>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</si>
  <si>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</si>
  <si>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</si>
  <si>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</si>
  <si>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</si>
  <si>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</si>
  <si>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</si>
  <si>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</si>
  <si>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</si>
  <si>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</si>
  <si>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</si>
  <si>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</si>
  <si>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</si>
  <si>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</si>
  <si>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</si>
  <si>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</si>
  <si>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</si>
  <si>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</si>
  <si>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</si>
  <si>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</si>
  <si>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</si>
  <si>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</si>
  <si>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</si>
  <si>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</si>
  <si>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</si>
  <si>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</si>
  <si>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</si>
  <si>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</si>
  <si>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</si>
  <si>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</si>
  <si>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</si>
  <si>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</si>
  <si>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</si>
  <si>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</si>
  <si>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</si>
  <si>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</si>
  <si>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</si>
  <si>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</si>
  <si>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</si>
  <si>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</si>
  <si>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</si>
  <si>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</si>
  <si>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</si>
  <si>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</si>
  <si>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</si>
  <si>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</si>
  <si>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</si>
  <si>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</si>
  <si>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</si>
  <si>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</si>
  <si>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</si>
  <si>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</si>
  <si>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</si>
  <si>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</si>
  <si>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</si>
  <si>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</si>
  <si>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</si>
  <si>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</si>
  <si>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</si>
  <si>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</si>
  <si>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</si>
  <si>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</si>
  <si>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</si>
  <si>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</si>
  <si>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</si>
  <si>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</si>
  <si>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</si>
  <si>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</si>
  <si>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</si>
  <si>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</si>
  <si>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</si>
  <si>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</si>
  <si>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</si>
  <si>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</si>
  <si>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</si>
  <si>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</si>
  <si>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</si>
  <si>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</si>
  <si>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</si>
  <si>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</si>
  <si>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</si>
  <si>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</si>
  <si>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</si>
  <si>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</si>
  <si>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</si>
  <si>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</si>
  <si>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</si>
  <si>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</si>
  <si>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</si>
  <si>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</si>
  <si>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</si>
  <si>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</si>
  <si>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</si>
  <si>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</si>
  <si>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</si>
  <si>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</si>
  <si>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</si>
  <si>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</si>
  <si>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</si>
  <si>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</si>
  <si>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</si>
  <si>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</si>
  <si>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</si>
  <si>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</si>
  <si>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</si>
  <si>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</si>
  <si>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</si>
  <si>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</si>
  <si>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</si>
  <si>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</si>
  <si>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</si>
  <si>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</si>
  <si>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</si>
  <si>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</si>
  <si>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</si>
  <si>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</si>
  <si>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</si>
  <si>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</si>
  <si>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</si>
  <si>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</si>
  <si>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</si>
  <si>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</si>
  <si>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</si>
  <si>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</si>
  <si>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</si>
  <si>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</si>
  <si>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</si>
  <si>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</si>
  <si>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</si>
  <si>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</si>
  <si>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</si>
  <si>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</si>
  <si>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</si>
  <si>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</si>
  <si>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</si>
  <si>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</si>
  <si>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</si>
  <si>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</si>
  <si>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</si>
  <si>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</si>
  <si>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</si>
  <si>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</si>
  <si>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</si>
  <si>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</si>
  <si>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</si>
  <si>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</si>
  <si>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</si>
  <si>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</si>
  <si>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</si>
  <si>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</si>
  <si>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</si>
  <si>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</si>
  <si>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</si>
  <si>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</si>
  <si>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</si>
  <si>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</si>
  <si>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</si>
  <si>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</si>
  <si>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</si>
  <si>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</si>
  <si>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</si>
  <si>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</si>
  <si>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</si>
  <si>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</si>
  <si>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</si>
  <si>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</si>
  <si>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</si>
  <si>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</si>
  <si>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</si>
  <si>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</si>
  <si>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</si>
  <si>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</si>
  <si>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</si>
  <si>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</si>
  <si>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</si>
  <si>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</si>
  <si>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</si>
  <si>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</si>
  <si>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</si>
  <si>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</si>
  <si>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</si>
  <si>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</si>
  <si>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</si>
  <si>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</si>
  <si>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</si>
  <si>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</si>
  <si>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</si>
  <si>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</si>
  <si>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</si>
  <si>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</si>
  <si>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</si>
  <si>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</si>
  <si>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</si>
  <si>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</si>
  <si>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</si>
  <si>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</si>
  <si>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</si>
  <si>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</si>
  <si>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</si>
  <si>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</si>
  <si>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</si>
  <si>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</si>
  <si>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</si>
  <si>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</si>
  <si>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</si>
  <si>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</si>
  <si>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</si>
  <si>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</si>
  <si>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</si>
  <si>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</si>
  <si>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</si>
  <si>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</si>
  <si>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</si>
  <si>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</si>
  <si>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</si>
  <si>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</si>
  <si>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</si>
  <si>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</si>
  <si>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</si>
  <si>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</si>
  <si>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</si>
  <si>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</si>
  <si>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</si>
  <si>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</si>
  <si>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</si>
  <si>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</si>
  <si>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</si>
  <si>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</si>
  <si>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</si>
  <si>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</si>
  <si>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</si>
  <si>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</si>
  <si>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</si>
  <si>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</si>
  <si>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</si>
  <si>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</si>
  <si>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</si>
  <si>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</si>
  <si>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</si>
  <si>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</si>
  <si>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</si>
  <si>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</si>
  <si>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</si>
  <si>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</si>
  <si>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</si>
  <si>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</si>
  <si>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</si>
  <si>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</si>
  <si>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</si>
  <si>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</si>
  <si>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</si>
  <si>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</si>
  <si>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</si>
  <si>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</si>
  <si>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</si>
  <si>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</si>
  <si>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</si>
  <si>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</si>
  <si>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</si>
  <si>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</si>
  <si>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</si>
  <si>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</si>
  <si>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</si>
  <si>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</si>
  <si>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</si>
  <si>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</si>
  <si>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</si>
  <si>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</si>
  <si>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</si>
  <si>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</si>
  <si>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</si>
  <si>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</si>
  <si>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</si>
  <si>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</si>
  <si>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</si>
  <si>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</si>
  <si>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</si>
  <si>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</si>
  <si>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</si>
  <si>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</si>
  <si>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</si>
  <si>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</si>
  <si>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</si>
  <si>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</si>
  <si>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</si>
  <si>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</si>
  <si>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</si>
  <si>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</si>
  <si>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</si>
  <si>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</si>
  <si>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</si>
  <si>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</si>
  <si>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</si>
  <si>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</si>
  <si>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</si>
  <si>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</si>
  <si>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</si>
  <si>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</si>
  <si>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</si>
  <si>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</si>
  <si>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</si>
  <si>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</si>
  <si>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</si>
  <si>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</si>
  <si>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</si>
  <si>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</si>
  <si>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</si>
  <si>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</si>
  <si>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</si>
  <si>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</si>
  <si>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</si>
  <si>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</si>
  <si>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</si>
  <si>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</si>
  <si>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</si>
  <si>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</si>
  <si>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</si>
  <si>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</si>
  <si>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</si>
  <si>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</si>
  <si>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</si>
  <si>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</si>
  <si>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</si>
  <si>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</si>
  <si>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</si>
  <si>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</si>
  <si>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</si>
  <si>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</si>
  <si>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</si>
  <si>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</si>
  <si>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</si>
  <si>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</si>
  <si>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</si>
  <si>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</si>
  <si>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</si>
  <si>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</si>
  <si>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</si>
  <si>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</si>
  <si>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</si>
  <si>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</si>
  <si>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</si>
  <si>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</si>
  <si>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</si>
  <si>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</si>
  <si>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</si>
  <si>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</si>
  <si>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</si>
  <si>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</si>
  <si>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</si>
  <si>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</si>
  <si>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</si>
  <si>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</si>
  <si>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</si>
  <si>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</si>
  <si>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</si>
  <si>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</si>
  <si>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</si>
  <si>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</si>
  <si>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</si>
  <si>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</si>
  <si>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</si>
  <si>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</si>
  <si>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</si>
  <si>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</si>
  <si>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</si>
  <si>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</si>
  <si>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</si>
  <si>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</si>
  <si>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</si>
  <si>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</si>
  <si>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</si>
  <si>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</si>
  <si>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</si>
  <si>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</si>
  <si>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</si>
  <si>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</si>
  <si>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</si>
  <si>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</si>
  <si>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</si>
  <si>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</si>
  <si>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</si>
  <si>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</si>
  <si>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</si>
  <si>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</si>
  <si>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</si>
  <si>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</si>
  <si>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</si>
  <si>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</si>
  <si>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</si>
  <si>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</si>
  <si>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</si>
  <si>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</si>
  <si>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</si>
  <si>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</si>
  <si>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</si>
  <si>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</si>
  <si>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</si>
  <si>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</si>
  <si>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</si>
  <si>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</si>
  <si>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</si>
  <si>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</si>
  <si>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</si>
  <si>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</si>
  <si>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</si>
  <si>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</si>
  <si>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</si>
  <si>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</si>
  <si>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</si>
  <si>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</si>
  <si>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</si>
  <si>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</si>
  <si>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</si>
  <si>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</si>
  <si>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</si>
  <si>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</si>
  <si>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</si>
  <si>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</si>
  <si>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</si>
  <si>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</si>
  <si>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</si>
  <si>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</si>
  <si>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</si>
  <si>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</si>
  <si>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</si>
  <si>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</si>
  <si>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</si>
  <si>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</si>
  <si>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</si>
  <si>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</si>
  <si>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</si>
  <si>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</si>
  <si>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</si>
  <si>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</si>
  <si>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</si>
  <si>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</si>
  <si>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</si>
  <si>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</si>
  <si>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</si>
  <si>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</si>
  <si>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</si>
  <si>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</si>
  <si>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</si>
  <si>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</si>
  <si>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</si>
  <si>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</si>
  <si>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</si>
  <si>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</si>
  <si>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</si>
  <si>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</si>
  <si>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</si>
  <si>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</si>
  <si>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</si>
  <si>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</si>
  <si>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</si>
  <si>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</si>
  <si>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</si>
  <si>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</si>
  <si>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</si>
  <si>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</si>
  <si>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</si>
  <si>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</si>
  <si>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</si>
  <si>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</si>
  <si>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</si>
  <si>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</si>
  <si>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</si>
  <si>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</si>
  <si>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</si>
  <si>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</si>
  <si>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</si>
  <si>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</si>
  <si>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</si>
  <si>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</si>
  <si>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</si>
  <si>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</si>
  <si>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</si>
  <si>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</si>
  <si>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</si>
  <si>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</si>
  <si>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</si>
  <si>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</si>
  <si>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</si>
  <si>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</si>
  <si>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</si>
  <si>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</si>
  <si>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</si>
  <si>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</si>
  <si>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</si>
  <si>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</si>
  <si>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</si>
  <si>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</si>
  <si>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</si>
  <si>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</si>
  <si>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</si>
  <si>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</si>
  <si>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</si>
  <si>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</si>
  <si>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</si>
  <si>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</si>
  <si>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</si>
  <si>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</si>
  <si>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</si>
  <si>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</si>
  <si>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</si>
  <si>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</si>
  <si>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</si>
  <si>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</si>
  <si>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</si>
  <si>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</si>
  <si>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</si>
  <si>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</si>
  <si>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</si>
  <si>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</si>
  <si>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</si>
  <si>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</si>
  <si>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</si>
  <si>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</si>
  <si>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</si>
  <si>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</si>
  <si>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</si>
  <si>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</si>
  <si>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</si>
  <si>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</si>
  <si>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</si>
  <si>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</si>
  <si>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</si>
  <si>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</si>
  <si>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Write off of Payable to General Fund.</t>
  </si>
  <si>
    <t>$175.12 Reduction to Cash Balance for Balancing</t>
  </si>
  <si>
    <t>Transfer from Capital Fund</t>
  </si>
  <si>
    <t>$ .78 Deletion for Balancing</t>
  </si>
  <si>
    <t>Newfound Area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</si>
</sst>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9861-413F-4229-B103-BDEB9E75C0B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388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1017924.99+33742-175.12</f>
        <v>1051491.8699999999</v>
      </c>
      <c r="G9" s="18">
        <v>99544.58</v>
      </c>
      <c r="H9" s="18"/>
      <c r="I9" s="18"/>
      <c r="J9" s="67">
        <f>SUM(I431)</f>
        <v>242628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73710.84</v>
      </c>
      <c r="G12" s="18">
        <v>22861.45</v>
      </c>
      <c r="H12" s="18">
        <v>5515.52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37520.14</v>
      </c>
      <c r="G13" s="18">
        <v>18242.82</v>
      </c>
      <c r="H13" s="18">
        <v>144029.71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607.36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1163330.21</v>
      </c>
      <c r="G19" s="41">
        <f>SUM(G9:G18)</f>
        <v>140648.85</v>
      </c>
      <c r="H19" s="41">
        <f>SUM(H9:H18)</f>
        <v>149545.22999999998</v>
      </c>
      <c r="I19" s="41">
        <f>SUM(I9:I18)</f>
        <v>0</v>
      </c>
      <c r="J19" s="41">
        <f>SUM(J9:J18)</f>
        <v>242628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139377.66-2476.93-34812.92</f>
        <v>102087.81000000001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164143.16</v>
      </c>
      <c r="G25" s="18">
        <v>264.99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52801.279999999999</v>
      </c>
      <c r="G29" s="18">
        <v>5465.34</v>
      </c>
      <c r="H29" s="18">
        <v>2476.9299999999998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>
        <v>34812.92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123143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216944.44</v>
      </c>
      <c r="G33" s="41">
        <f>SUM(G23:G32)</f>
        <v>5730.33</v>
      </c>
      <c r="H33" s="41">
        <f>SUM(H23:H32)</f>
        <v>139377.66</v>
      </c>
      <c r="I33" s="41">
        <f>SUM(I23:I32)</f>
        <v>0</v>
      </c>
      <c r="J33" s="41">
        <f>SUM(J23:J32)</f>
        <v>123143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134918.51999999999</v>
      </c>
      <c r="H41" s="18">
        <v>10167.57</v>
      </c>
      <c r="I41" s="18"/>
      <c r="J41" s="13">
        <f>SUM(I449)</f>
        <v>119485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946385.77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946385.77</v>
      </c>
      <c r="G43" s="41">
        <f>SUM(G35:G42)</f>
        <v>134918.51999999999</v>
      </c>
      <c r="H43" s="41">
        <f>SUM(H35:H42)</f>
        <v>10167.57</v>
      </c>
      <c r="I43" s="41">
        <f>SUM(I35:I42)</f>
        <v>0</v>
      </c>
      <c r="J43" s="41">
        <f>SUM(J35:J42)</f>
        <v>119485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1163330.21</v>
      </c>
      <c r="G44" s="41">
        <f>G43+G33</f>
        <v>140648.84999999998</v>
      </c>
      <c r="H44" s="41">
        <f>H43+H33</f>
        <v>149545.23000000001</v>
      </c>
      <c r="I44" s="41">
        <f>I43+I33</f>
        <v>0</v>
      </c>
      <c r="J44" s="41">
        <f>J43+J33</f>
        <v>242628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12273616</v>
      </c>
      <c r="G49" s="18"/>
      <c r="H49" s="18">
        <v>0</v>
      </c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>
        <f>66852</f>
        <v>66852</v>
      </c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12273616</v>
      </c>
      <c r="G52" s="41">
        <f>SUM(G49:G51)</f>
        <v>0</v>
      </c>
      <c r="H52" s="41">
        <f>SUM(H49:H51)</f>
        <v>66852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2812.5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108749.26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111561.76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5446.69</v>
      </c>
      <c r="G88" s="18">
        <v>464.27</v>
      </c>
      <c r="H88" s="18">
        <v>0</v>
      </c>
      <c r="I88" s="18"/>
      <c r="J88" s="18">
        <v>1893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300052.53+36852.47</f>
        <v>336905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3534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580</v>
      </c>
      <c r="G93" s="18">
        <v>0</v>
      </c>
      <c r="H93" s="18">
        <v>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750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11262.5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41872.06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1153.86</f>
        <v>1153.8599999999999</v>
      </c>
      <c r="G102" s="18">
        <v>0</v>
      </c>
      <c r="H102" s="18">
        <v>22708.83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64599.11</v>
      </c>
      <c r="G103" s="41">
        <f>SUM(G88:G102)</f>
        <v>337369.27</v>
      </c>
      <c r="H103" s="41">
        <f>SUM(H88:H102)</f>
        <v>22708.83</v>
      </c>
      <c r="I103" s="41">
        <f>SUM(I88:I102)</f>
        <v>0</v>
      </c>
      <c r="J103" s="41">
        <f>SUM(J88:J102)</f>
        <v>1893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12449776.869999999</v>
      </c>
      <c r="G104" s="41">
        <f>G52+G103</f>
        <v>337369.27</v>
      </c>
      <c r="H104" s="41">
        <f>H52+H71+H86+H103</f>
        <v>89560.83</v>
      </c>
      <c r="I104" s="41">
        <f>I52+I103</f>
        <v>0</v>
      </c>
      <c r="J104" s="41">
        <f>J52+J103</f>
        <v>1893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2762615.77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4178340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1059928.23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98121.66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8099005.6600000001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7661.5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119794.52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5431.2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6006.24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12000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144887.22</v>
      </c>
      <c r="G128" s="41">
        <f>SUM(G115:G127)</f>
        <v>6006.24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8243892.8799999999</v>
      </c>
      <c r="G132" s="41">
        <f>G113+SUM(G128:G129)</f>
        <v>6006.24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494242.69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419895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240260.24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479799.22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304888.46999999997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304888.46999999997</v>
      </c>
      <c r="G154" s="41">
        <f>SUM(G142:G153)</f>
        <v>240260.24</v>
      </c>
      <c r="H154" s="41">
        <f>SUM(H142:H153)</f>
        <v>1393936.91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3293.67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308182.13999999996</v>
      </c>
      <c r="G161" s="41">
        <f>G139+G154+SUM(G155:G160)</f>
        <v>240260.24</v>
      </c>
      <c r="H161" s="41">
        <f>H139+H154+SUM(H155:H160)</f>
        <v>1393936.91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275925.25</v>
      </c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9756.9500000000007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/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285682.2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285682.2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21001851.890000001</v>
      </c>
      <c r="G185" s="47">
        <f>G104+G132+G161+G184</f>
        <v>583635.75</v>
      </c>
      <c r="H185" s="47">
        <f>H104+H132+H161+H184</f>
        <v>1483497.74</v>
      </c>
      <c r="I185" s="47">
        <f>I104+I132+I161+I184</f>
        <v>285682.2</v>
      </c>
      <c r="J185" s="47">
        <f>J104+J132+J184</f>
        <v>1893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2360222.44</v>
      </c>
      <c r="G189" s="18">
        <v>942128.52</v>
      </c>
      <c r="H189" s="18">
        <v>31043.91</v>
      </c>
      <c r="I189" s="18">
        <v>133964.26</v>
      </c>
      <c r="J189" s="18">
        <v>6773.57</v>
      </c>
      <c r="K189" s="18">
        <v>39.6</v>
      </c>
      <c r="L189" s="19">
        <f>SUM(F189:K189)</f>
        <v>3474172.3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776970.57</v>
      </c>
      <c r="G190" s="18">
        <v>507567.22</v>
      </c>
      <c r="H190" s="18">
        <v>290912.63</v>
      </c>
      <c r="I190" s="18">
        <v>4832.5200000000004</v>
      </c>
      <c r="J190" s="18">
        <v>0</v>
      </c>
      <c r="K190" s="18">
        <v>2145</v>
      </c>
      <c r="L190" s="19">
        <f>SUM(F190:K190)</f>
        <v>1582427.94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85.5</v>
      </c>
      <c r="G192" s="18">
        <v>5822.95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5908.45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394015.17</v>
      </c>
      <c r="G194" s="18">
        <v>202581.69</v>
      </c>
      <c r="H194" s="18">
        <v>209507.5</v>
      </c>
      <c r="I194" s="18">
        <v>7630.22</v>
      </c>
      <c r="J194" s="18">
        <v>1545.79</v>
      </c>
      <c r="K194" s="18"/>
      <c r="L194" s="19">
        <f t="shared" ref="L194:L200" si="0">SUM(F194:K194)</f>
        <v>815280.37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64571.06</v>
      </c>
      <c r="G195" s="18">
        <v>30519.48</v>
      </c>
      <c r="H195" s="18">
        <v>23837.05</v>
      </c>
      <c r="I195" s="18">
        <v>26451.45</v>
      </c>
      <c r="J195" s="18">
        <v>14170.48</v>
      </c>
      <c r="K195" s="18">
        <v>42787.96</v>
      </c>
      <c r="L195" s="19">
        <f t="shared" si="0"/>
        <v>202337.48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191901.38</v>
      </c>
      <c r="G196" s="18">
        <v>78096.78</v>
      </c>
      <c r="H196" s="18">
        <v>43069.99</v>
      </c>
      <c r="I196" s="18">
        <v>6458.63</v>
      </c>
      <c r="J196" s="18">
        <v>2348.1999999999998</v>
      </c>
      <c r="K196" s="18">
        <v>7451.63</v>
      </c>
      <c r="L196" s="19">
        <f t="shared" si="0"/>
        <v>329326.61000000004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369102.93</v>
      </c>
      <c r="G197" s="18">
        <v>165439.07</v>
      </c>
      <c r="H197" s="18">
        <v>18713.38</v>
      </c>
      <c r="I197" s="18">
        <v>2718.53</v>
      </c>
      <c r="J197" s="18">
        <v>648.99</v>
      </c>
      <c r="K197" s="18">
        <v>2416.83</v>
      </c>
      <c r="L197" s="19">
        <f t="shared" si="0"/>
        <v>559039.73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234537.59</v>
      </c>
      <c r="G199" s="18">
        <v>91643.73</v>
      </c>
      <c r="H199" s="18">
        <v>81776.22</v>
      </c>
      <c r="I199" s="18">
        <v>163765.54999999999</v>
      </c>
      <c r="J199" s="18">
        <v>2922.84</v>
      </c>
      <c r="K199" s="18">
        <v>0</v>
      </c>
      <c r="L199" s="19">
        <f t="shared" si="0"/>
        <v>574645.93000000005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557347.37</v>
      </c>
      <c r="I200" s="18">
        <v>56821.54</v>
      </c>
      <c r="J200" s="18"/>
      <c r="K200" s="18"/>
      <c r="L200" s="19">
        <f t="shared" si="0"/>
        <v>614168.91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4391406.6399999997</v>
      </c>
      <c r="G203" s="41">
        <f t="shared" si="1"/>
        <v>2023799.44</v>
      </c>
      <c r="H203" s="41">
        <f t="shared" si="1"/>
        <v>1256208.05</v>
      </c>
      <c r="I203" s="41">
        <f t="shared" si="1"/>
        <v>402642.7</v>
      </c>
      <c r="J203" s="41">
        <f t="shared" si="1"/>
        <v>28409.870000000003</v>
      </c>
      <c r="K203" s="41">
        <f t="shared" si="1"/>
        <v>54841.02</v>
      </c>
      <c r="L203" s="41">
        <f t="shared" si="1"/>
        <v>8157307.7200000007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1237818</v>
      </c>
      <c r="G207" s="18">
        <v>467058.56</v>
      </c>
      <c r="H207" s="18">
        <v>16237.38</v>
      </c>
      <c r="I207" s="18">
        <v>37076.57</v>
      </c>
      <c r="J207" s="18">
        <v>4569.34</v>
      </c>
      <c r="K207" s="18">
        <v>594.70000000000005</v>
      </c>
      <c r="L207" s="19">
        <f>SUM(F207:K207)</f>
        <v>1763354.55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414960.2</v>
      </c>
      <c r="G208" s="18">
        <v>341484.02</v>
      </c>
      <c r="H208" s="18">
        <v>110769.94</v>
      </c>
      <c r="I208" s="18">
        <v>669.29</v>
      </c>
      <c r="J208" s="18">
        <v>0</v>
      </c>
      <c r="K208" s="18">
        <v>750</v>
      </c>
      <c r="L208" s="19">
        <f>SUM(F208:K208)</f>
        <v>868633.45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53563</v>
      </c>
      <c r="G210" s="18">
        <v>6604.78</v>
      </c>
      <c r="H210" s="18">
        <v>0</v>
      </c>
      <c r="I210" s="18">
        <v>4482.1099999999997</v>
      </c>
      <c r="J210" s="18">
        <v>0</v>
      </c>
      <c r="K210" s="18">
        <v>8994</v>
      </c>
      <c r="L210" s="19">
        <f>SUM(F210:K210)</f>
        <v>73643.89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177221.34</v>
      </c>
      <c r="G212" s="18">
        <v>85404.06</v>
      </c>
      <c r="H212" s="18">
        <v>96606.61</v>
      </c>
      <c r="I212" s="18">
        <v>2918.57</v>
      </c>
      <c r="J212" s="18">
        <v>0</v>
      </c>
      <c r="K212" s="18">
        <v>320</v>
      </c>
      <c r="L212" s="19">
        <f t="shared" ref="L212:L218" si="2">SUM(F212:K212)</f>
        <v>362470.58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68159.98</v>
      </c>
      <c r="G213" s="18">
        <v>23323.78</v>
      </c>
      <c r="H213" s="18">
        <v>14087.74</v>
      </c>
      <c r="I213" s="18">
        <v>16985.78</v>
      </c>
      <c r="J213" s="18">
        <v>49431.31</v>
      </c>
      <c r="K213" s="18">
        <v>29357.75</v>
      </c>
      <c r="L213" s="19">
        <f t="shared" si="2"/>
        <v>201346.34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100163.6</v>
      </c>
      <c r="G214" s="18">
        <v>41577.47</v>
      </c>
      <c r="H214" s="18">
        <v>21784.83</v>
      </c>
      <c r="I214" s="18">
        <v>3383.81</v>
      </c>
      <c r="J214" s="18">
        <v>1214.79</v>
      </c>
      <c r="K214" s="18">
        <v>3820.45</v>
      </c>
      <c r="L214" s="19">
        <f t="shared" si="2"/>
        <v>171944.95000000004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171842.6</v>
      </c>
      <c r="G215" s="18">
        <v>69378.899999999994</v>
      </c>
      <c r="H215" s="18">
        <v>8858.33</v>
      </c>
      <c r="I215" s="18">
        <v>985.53</v>
      </c>
      <c r="J215" s="18">
        <v>143.1</v>
      </c>
      <c r="K215" s="18">
        <v>2846.13</v>
      </c>
      <c r="L215" s="19">
        <f t="shared" si="2"/>
        <v>254054.59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114193.96</v>
      </c>
      <c r="G217" s="18">
        <v>44092.05</v>
      </c>
      <c r="H217" s="18">
        <v>54907.65</v>
      </c>
      <c r="I217" s="18">
        <v>92541.29</v>
      </c>
      <c r="J217" s="18">
        <v>622.12</v>
      </c>
      <c r="K217" s="18">
        <v>0</v>
      </c>
      <c r="L217" s="19">
        <f t="shared" si="2"/>
        <v>306357.07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240146.71</v>
      </c>
      <c r="I218" s="18">
        <v>29785.57</v>
      </c>
      <c r="J218" s="18">
        <v>0</v>
      </c>
      <c r="K218" s="18">
        <v>0</v>
      </c>
      <c r="L218" s="19">
        <f t="shared" si="2"/>
        <v>269932.27999999997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2337922.6800000002</v>
      </c>
      <c r="G221" s="41">
        <f>SUM(G207:G220)</f>
        <v>1078923.6200000001</v>
      </c>
      <c r="H221" s="41">
        <f>SUM(H207:H220)</f>
        <v>563399.19000000006</v>
      </c>
      <c r="I221" s="41">
        <f>SUM(I207:I220)</f>
        <v>188828.52000000002</v>
      </c>
      <c r="J221" s="41">
        <f>SUM(J207:J220)</f>
        <v>55980.659999999996</v>
      </c>
      <c r="K221" s="41">
        <f t="shared" si="3"/>
        <v>46683.029999999992</v>
      </c>
      <c r="L221" s="41">
        <f t="shared" si="3"/>
        <v>4271737.7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1857968.4</v>
      </c>
      <c r="G225" s="18">
        <v>753464.15</v>
      </c>
      <c r="H225" s="18">
        <v>36111.69</v>
      </c>
      <c r="I225" s="18">
        <v>76795.06</v>
      </c>
      <c r="J225" s="18">
        <v>9834.9500000000007</v>
      </c>
      <c r="K225" s="18">
        <v>6977.95</v>
      </c>
      <c r="L225" s="19">
        <f>SUM(F225:K225)</f>
        <v>2741152.2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625549.39</v>
      </c>
      <c r="G226" s="18">
        <v>400664.42</v>
      </c>
      <c r="H226" s="18">
        <v>499465</v>
      </c>
      <c r="I226" s="18">
        <v>7314.85</v>
      </c>
      <c r="J226" s="18">
        <v>0</v>
      </c>
      <c r="K226" s="18">
        <v>500</v>
      </c>
      <c r="L226" s="19">
        <f>SUM(F226:K226)</f>
        <v>1533493.6600000001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42134.05</v>
      </c>
      <c r="I227" s="18">
        <v>0</v>
      </c>
      <c r="J227" s="18">
        <v>0</v>
      </c>
      <c r="K227" s="18">
        <v>0</v>
      </c>
      <c r="L227" s="19">
        <f>SUM(F227:K227)</f>
        <v>42134.05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158858</v>
      </c>
      <c r="G228" s="18">
        <v>23644.34</v>
      </c>
      <c r="H228" s="18">
        <v>12000</v>
      </c>
      <c r="I228" s="18">
        <v>28367.919999999998</v>
      </c>
      <c r="J228" s="18">
        <v>8740.07</v>
      </c>
      <c r="K228" s="18">
        <v>47336.35</v>
      </c>
      <c r="L228" s="19">
        <f>SUM(F228:K228)</f>
        <v>278946.68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261285.8</v>
      </c>
      <c r="G230" s="18">
        <v>83540.11</v>
      </c>
      <c r="H230" s="18">
        <v>128257.61</v>
      </c>
      <c r="I230" s="18">
        <v>6368.03</v>
      </c>
      <c r="J230" s="18">
        <v>324.75</v>
      </c>
      <c r="K230" s="18">
        <v>0</v>
      </c>
      <c r="L230" s="19">
        <f t="shared" ref="L230:L236" si="4">SUM(F230:K230)</f>
        <v>479776.3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121613.2</v>
      </c>
      <c r="G231" s="18">
        <v>50753.63</v>
      </c>
      <c r="H231" s="18">
        <v>21733.66</v>
      </c>
      <c r="I231" s="18">
        <v>30691.45</v>
      </c>
      <c r="J231" s="18">
        <v>20297.599999999999</v>
      </c>
      <c r="K231" s="18">
        <v>39081</v>
      </c>
      <c r="L231" s="19">
        <f t="shared" si="4"/>
        <v>284170.54000000004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137844.1</v>
      </c>
      <c r="G232" s="18">
        <v>54591.07</v>
      </c>
      <c r="H232" s="18">
        <v>32403.68</v>
      </c>
      <c r="I232" s="18">
        <v>4812.7700000000004</v>
      </c>
      <c r="J232" s="18">
        <v>1760.62</v>
      </c>
      <c r="K232" s="18">
        <v>7453.06</v>
      </c>
      <c r="L232" s="19">
        <f t="shared" si="4"/>
        <v>238865.3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212093.09</v>
      </c>
      <c r="G233" s="18">
        <v>97487.02</v>
      </c>
      <c r="H233" s="18">
        <v>11337.72</v>
      </c>
      <c r="I233" s="18">
        <v>1867.73</v>
      </c>
      <c r="J233" s="18">
        <v>0</v>
      </c>
      <c r="K233" s="18">
        <v>10976.78</v>
      </c>
      <c r="L233" s="19">
        <f t="shared" si="4"/>
        <v>333762.33999999997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168464.87</v>
      </c>
      <c r="G235" s="18">
        <v>81203.14</v>
      </c>
      <c r="H235" s="18">
        <v>104048.91</v>
      </c>
      <c r="I235" s="18">
        <v>147845.53</v>
      </c>
      <c r="J235" s="18">
        <v>5588.61</v>
      </c>
      <c r="K235" s="18">
        <v>0</v>
      </c>
      <c r="L235" s="19">
        <f t="shared" si="4"/>
        <v>507151.06000000006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547691.98</v>
      </c>
      <c r="I236" s="18">
        <v>41433.339999999997</v>
      </c>
      <c r="J236" s="18">
        <v>0</v>
      </c>
      <c r="K236" s="18">
        <v>0</v>
      </c>
      <c r="L236" s="19">
        <f t="shared" si="4"/>
        <v>589125.31999999995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3543676.85</v>
      </c>
      <c r="G239" s="41">
        <f t="shared" si="5"/>
        <v>1545347.8800000001</v>
      </c>
      <c r="H239" s="41">
        <f t="shared" si="5"/>
        <v>1435184.3</v>
      </c>
      <c r="I239" s="41">
        <f t="shared" si="5"/>
        <v>345496.67999999993</v>
      </c>
      <c r="J239" s="41">
        <f t="shared" si="5"/>
        <v>46546.6</v>
      </c>
      <c r="K239" s="41">
        <f t="shared" si="5"/>
        <v>112325.13999999998</v>
      </c>
      <c r="L239" s="41">
        <f t="shared" si="5"/>
        <v>7028577.4499999993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10273006.17</v>
      </c>
      <c r="G249" s="41">
        <f t="shared" si="8"/>
        <v>4648070.9400000004</v>
      </c>
      <c r="H249" s="41">
        <f t="shared" si="8"/>
        <v>3254791.54</v>
      </c>
      <c r="I249" s="41">
        <f t="shared" si="8"/>
        <v>936967.89999999991</v>
      </c>
      <c r="J249" s="41">
        <f t="shared" si="8"/>
        <v>130937.13</v>
      </c>
      <c r="K249" s="41">
        <f t="shared" si="8"/>
        <v>213849.18999999997</v>
      </c>
      <c r="L249" s="41">
        <f t="shared" si="8"/>
        <v>19457622.870000001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275925.25</v>
      </c>
      <c r="L257" s="19">
        <f t="shared" si="9"/>
        <v>275925.25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275925.25</v>
      </c>
      <c r="L262" s="41">
        <f t="shared" si="9"/>
        <v>275925.25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10273006.17</v>
      </c>
      <c r="G263" s="42">
        <f t="shared" si="11"/>
        <v>4648070.9400000004</v>
      </c>
      <c r="H263" s="42">
        <f t="shared" si="11"/>
        <v>3254791.54</v>
      </c>
      <c r="I263" s="42">
        <f t="shared" si="11"/>
        <v>936967.89999999991</v>
      </c>
      <c r="J263" s="42">
        <f t="shared" si="11"/>
        <v>130937.13</v>
      </c>
      <c r="K263" s="42">
        <f t="shared" si="11"/>
        <v>489774.43999999994</v>
      </c>
      <c r="L263" s="42">
        <f t="shared" si="11"/>
        <v>19733548.120000001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374102.94</v>
      </c>
      <c r="G268" s="18">
        <v>54171.839999999997</v>
      </c>
      <c r="H268" s="18"/>
      <c r="I268" s="18">
        <v>7780.93</v>
      </c>
      <c r="J268" s="18"/>
      <c r="K268" s="18"/>
      <c r="L268" s="19">
        <f>SUM(F268:K268)</f>
        <v>436055.71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55036.36</v>
      </c>
      <c r="G269" s="18"/>
      <c r="H269" s="18"/>
      <c r="I269" s="18"/>
      <c r="J269" s="18"/>
      <c r="K269" s="18"/>
      <c r="L269" s="19">
        <f>SUM(F269:K269)</f>
        <v>55036.36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134673.14000000001</v>
      </c>
      <c r="G271" s="18"/>
      <c r="H271" s="18">
        <v>24085.64</v>
      </c>
      <c r="I271" s="18">
        <v>19111.12</v>
      </c>
      <c r="J271" s="18"/>
      <c r="K271" s="18"/>
      <c r="L271" s="19">
        <f>SUM(F271:K271)</f>
        <v>177869.90000000002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29791.71</v>
      </c>
      <c r="G273" s="18"/>
      <c r="H273" s="18">
        <v>98122.5</v>
      </c>
      <c r="I273" s="18">
        <v>1241.4000000000001</v>
      </c>
      <c r="J273" s="18">
        <v>1357.9</v>
      </c>
      <c r="K273" s="18"/>
      <c r="L273" s="19">
        <f t="shared" ref="L273:L279" si="12">SUM(F273:K273)</f>
        <v>130513.50999999998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7260</v>
      </c>
      <c r="G274" s="18">
        <v>480.81</v>
      </c>
      <c r="H274" s="18">
        <v>65980.039999999994</v>
      </c>
      <c r="I274" s="18">
        <v>768.95</v>
      </c>
      <c r="J274" s="18">
        <v>6201.8</v>
      </c>
      <c r="K274" s="18"/>
      <c r="L274" s="19">
        <f t="shared" si="12"/>
        <v>80691.599999999991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5368</v>
      </c>
      <c r="G275" s="18"/>
      <c r="H275" s="18">
        <v>1619.09</v>
      </c>
      <c r="I275" s="18">
        <v>2492.12</v>
      </c>
      <c r="J275" s="18"/>
      <c r="K275" s="18"/>
      <c r="L275" s="19">
        <f t="shared" si="12"/>
        <v>9479.2099999999991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606232.14999999991</v>
      </c>
      <c r="G282" s="42">
        <f t="shared" si="13"/>
        <v>54652.649999999994</v>
      </c>
      <c r="H282" s="42">
        <f t="shared" si="13"/>
        <v>189807.27</v>
      </c>
      <c r="I282" s="42">
        <f t="shared" si="13"/>
        <v>31394.52</v>
      </c>
      <c r="J282" s="42">
        <f t="shared" si="13"/>
        <v>7559.7000000000007</v>
      </c>
      <c r="K282" s="42">
        <f t="shared" si="13"/>
        <v>0</v>
      </c>
      <c r="L282" s="41">
        <f t="shared" si="13"/>
        <v>889646.28999999992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47592</v>
      </c>
      <c r="G287" s="18">
        <v>174.02</v>
      </c>
      <c r="H287" s="18">
        <v>8000</v>
      </c>
      <c r="I287" s="18">
        <v>358.78</v>
      </c>
      <c r="J287" s="18"/>
      <c r="K287" s="18"/>
      <c r="L287" s="19">
        <f>SUM(F287:K287)</f>
        <v>56124.799999999996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71814.66</v>
      </c>
      <c r="G288" s="18"/>
      <c r="H288" s="18"/>
      <c r="I288" s="18"/>
      <c r="J288" s="18"/>
      <c r="K288" s="18"/>
      <c r="L288" s="19">
        <f>SUM(F288:K288)</f>
        <v>71814.66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19909.509999999998</v>
      </c>
      <c r="G290" s="18"/>
      <c r="H290" s="18">
        <v>9200.9</v>
      </c>
      <c r="I290" s="18">
        <v>8714.83</v>
      </c>
      <c r="J290" s="18"/>
      <c r="K290" s="18"/>
      <c r="L290" s="19">
        <f>SUM(F290:K290)</f>
        <v>37825.24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47542.31</v>
      </c>
      <c r="I292" s="18"/>
      <c r="J292" s="18">
        <v>709.81</v>
      </c>
      <c r="K292" s="18"/>
      <c r="L292" s="19">
        <f t="shared" ref="L292:L298" si="14">SUM(F292:K292)</f>
        <v>48252.119999999995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3795</v>
      </c>
      <c r="G293" s="18">
        <v>251.33</v>
      </c>
      <c r="H293" s="18">
        <v>24640.62</v>
      </c>
      <c r="I293" s="18">
        <v>401.95</v>
      </c>
      <c r="J293" s="18">
        <v>3241.85</v>
      </c>
      <c r="K293" s="18"/>
      <c r="L293" s="19">
        <f t="shared" si="14"/>
        <v>32330.749999999996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1150</v>
      </c>
      <c r="G294" s="18"/>
      <c r="H294" s="18">
        <v>846.34</v>
      </c>
      <c r="I294" s="18">
        <v>1302.7</v>
      </c>
      <c r="J294" s="18"/>
      <c r="K294" s="18"/>
      <c r="L294" s="19">
        <f t="shared" si="14"/>
        <v>3299.04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5000</v>
      </c>
      <c r="G295" s="18"/>
      <c r="H295" s="18"/>
      <c r="I295" s="18"/>
      <c r="J295" s="18"/>
      <c r="K295" s="18"/>
      <c r="L295" s="19">
        <f t="shared" si="14"/>
        <v>5000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149261.17000000001</v>
      </c>
      <c r="G301" s="42">
        <f t="shared" si="15"/>
        <v>425.35</v>
      </c>
      <c r="H301" s="42">
        <f t="shared" si="15"/>
        <v>90230.17</v>
      </c>
      <c r="I301" s="42">
        <f t="shared" si="15"/>
        <v>10778.260000000002</v>
      </c>
      <c r="J301" s="42">
        <f t="shared" si="15"/>
        <v>3951.66</v>
      </c>
      <c r="K301" s="42">
        <f t="shared" si="15"/>
        <v>0</v>
      </c>
      <c r="L301" s="41">
        <f t="shared" si="15"/>
        <v>254646.61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6050</v>
      </c>
      <c r="G306" s="18">
        <v>462.83</v>
      </c>
      <c r="H306" s="18"/>
      <c r="I306" s="18"/>
      <c r="J306" s="18"/>
      <c r="K306" s="18"/>
      <c r="L306" s="19">
        <f>SUM(F306:K306)</f>
        <v>6512.83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97414.46</v>
      </c>
      <c r="I307" s="18"/>
      <c r="J307" s="18"/>
      <c r="K307" s="18"/>
      <c r="L307" s="19">
        <f>SUM(F307:K307)</f>
        <v>97414.46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57095.06</v>
      </c>
      <c r="G309" s="18">
        <v>6475.37</v>
      </c>
      <c r="H309" s="18">
        <v>21361.98</v>
      </c>
      <c r="I309" s="18">
        <v>24963.5</v>
      </c>
      <c r="J309" s="18"/>
      <c r="K309" s="18"/>
      <c r="L309" s="19">
        <f>SUM(F309:K309)</f>
        <v>109895.91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309</v>
      </c>
      <c r="G311" s="18">
        <v>45.8</v>
      </c>
      <c r="H311" s="18">
        <v>68212.87</v>
      </c>
      <c r="I311" s="18"/>
      <c r="J311" s="18">
        <v>1018.43</v>
      </c>
      <c r="K311" s="18"/>
      <c r="L311" s="19">
        <f t="shared" ref="L311:L317" si="16">SUM(F311:K311)</f>
        <v>69586.099999999991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5445</v>
      </c>
      <c r="G312" s="18">
        <v>360.62</v>
      </c>
      <c r="H312" s="18">
        <v>30570.27</v>
      </c>
      <c r="I312" s="18">
        <v>576.72</v>
      </c>
      <c r="J312" s="18">
        <v>4651.3500000000004</v>
      </c>
      <c r="K312" s="18"/>
      <c r="L312" s="19">
        <f t="shared" si="16"/>
        <v>41603.96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6650</v>
      </c>
      <c r="G313" s="18">
        <v>1255.72</v>
      </c>
      <c r="H313" s="18">
        <v>4416.43</v>
      </c>
      <c r="I313" s="18">
        <v>1869.08</v>
      </c>
      <c r="J313" s="18"/>
      <c r="K313" s="18"/>
      <c r="L313" s="19">
        <f t="shared" si="16"/>
        <v>14191.230000000001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75549.06</v>
      </c>
      <c r="G320" s="42">
        <f t="shared" si="17"/>
        <v>8600.34</v>
      </c>
      <c r="H320" s="42">
        <f t="shared" si="17"/>
        <v>221976.00999999998</v>
      </c>
      <c r="I320" s="42">
        <f t="shared" si="17"/>
        <v>27409.300000000003</v>
      </c>
      <c r="J320" s="42">
        <f t="shared" si="17"/>
        <v>5669.7800000000007</v>
      </c>
      <c r="K320" s="42">
        <f t="shared" si="17"/>
        <v>0</v>
      </c>
      <c r="L320" s="41">
        <f t="shared" si="17"/>
        <v>339204.49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831042.37999999989</v>
      </c>
      <c r="G330" s="41">
        <f t="shared" si="20"/>
        <v>63678.34</v>
      </c>
      <c r="H330" s="41">
        <f t="shared" si="20"/>
        <v>502013.44999999995</v>
      </c>
      <c r="I330" s="41">
        <f t="shared" si="20"/>
        <v>69582.080000000002</v>
      </c>
      <c r="J330" s="41">
        <f t="shared" si="20"/>
        <v>17181.14</v>
      </c>
      <c r="K330" s="41">
        <f t="shared" si="20"/>
        <v>0</v>
      </c>
      <c r="L330" s="41">
        <f t="shared" si="20"/>
        <v>1483497.39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831042.37999999989</v>
      </c>
      <c r="G344" s="41">
        <f>G330</f>
        <v>63678.34</v>
      </c>
      <c r="H344" s="41">
        <f>H330</f>
        <v>502013.44999999995</v>
      </c>
      <c r="I344" s="41">
        <f>I330</f>
        <v>69582.080000000002</v>
      </c>
      <c r="J344" s="41">
        <f>J330</f>
        <v>17181.14</v>
      </c>
      <c r="K344" s="47">
        <f>K330+K343</f>
        <v>0</v>
      </c>
      <c r="L344" s="41">
        <f>L330+L343</f>
        <v>1483497.39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96186.44</v>
      </c>
      <c r="G350" s="18">
        <v>52889.89</v>
      </c>
      <c r="H350" s="18">
        <v>1248.1500000000001</v>
      </c>
      <c r="I350" s="18">
        <v>36255.870000000003</v>
      </c>
      <c r="J350" s="18">
        <v>2360.4899999999998</v>
      </c>
      <c r="K350" s="18"/>
      <c r="L350" s="13">
        <f>SUM(F350:K350)</f>
        <v>188940.84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49348</v>
      </c>
      <c r="G351" s="18">
        <v>23113.53</v>
      </c>
      <c r="H351" s="18">
        <v>2693.38</v>
      </c>
      <c r="I351" s="18">
        <v>48914.09</v>
      </c>
      <c r="J351" s="18">
        <v>108</v>
      </c>
      <c r="K351" s="18"/>
      <c r="L351" s="19">
        <f>SUM(F351:K351)</f>
        <v>124177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106201.69</v>
      </c>
      <c r="G352" s="18">
        <v>38156.01</v>
      </c>
      <c r="H352" s="18">
        <v>5647.7</v>
      </c>
      <c r="I352" s="18">
        <v>153852.04</v>
      </c>
      <c r="J352" s="18">
        <v>510</v>
      </c>
      <c r="K352" s="18"/>
      <c r="L352" s="19">
        <f>SUM(F352:K352)</f>
        <v>304367.44000000006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9756.9500000000007</v>
      </c>
      <c r="L353" s="13">
        <f>SUM(F353:K353)</f>
        <v>9756.9500000000007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251736.13</v>
      </c>
      <c r="G354" s="47">
        <f t="shared" si="22"/>
        <v>114159.43</v>
      </c>
      <c r="H354" s="47">
        <f t="shared" si="22"/>
        <v>9589.23</v>
      </c>
      <c r="I354" s="47">
        <f t="shared" si="22"/>
        <v>239022</v>
      </c>
      <c r="J354" s="47">
        <f t="shared" si="22"/>
        <v>2978.49</v>
      </c>
      <c r="K354" s="47">
        <f t="shared" si="22"/>
        <v>9756.9500000000007</v>
      </c>
      <c r="L354" s="47">
        <f t="shared" si="22"/>
        <v>627242.23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36255.87-4400.01</f>
        <v>31855.86</v>
      </c>
      <c r="G359" s="18">
        <f>48914.09-2455.82</f>
        <v>46458.27</v>
      </c>
      <c r="H359" s="18">
        <f>153852.05-3376.75</f>
        <v>150475.29999999999</v>
      </c>
      <c r="I359" s="56">
        <f>SUM(F359:H359)</f>
        <v>228789.43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10232.57*0.43</f>
        <v>4400.0050999999994</v>
      </c>
      <c r="G360" s="63">
        <f>10232.57*0.24</f>
        <v>2455.8168000000001</v>
      </c>
      <c r="H360" s="63">
        <f>10232.57*0.33</f>
        <v>3376.7481000000002</v>
      </c>
      <c r="I360" s="56">
        <f>SUM(F360:H360)</f>
        <v>10232.57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36255.865100000003</v>
      </c>
      <c r="G361" s="47">
        <f>SUM(G359:G360)</f>
        <v>48914.086799999997</v>
      </c>
      <c r="H361" s="47">
        <f>SUM(H359:H360)</f>
        <v>153852.04809999999</v>
      </c>
      <c r="I361" s="47">
        <f>SUM(I359:I360)</f>
        <v>239022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219353.1</v>
      </c>
      <c r="I371" s="18">
        <v>0</v>
      </c>
      <c r="J371" s="18">
        <v>0</v>
      </c>
      <c r="K371" s="18">
        <v>0</v>
      </c>
      <c r="L371" s="13">
        <f t="shared" si="23"/>
        <v>219353.1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57047.51</v>
      </c>
      <c r="K372" s="18">
        <v>0</v>
      </c>
      <c r="L372" s="13">
        <f t="shared" si="23"/>
        <v>57047.51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9281.39</v>
      </c>
      <c r="L373" s="13">
        <f t="shared" si="23"/>
        <v>9281.39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219353.1</v>
      </c>
      <c r="I374" s="41">
        <f t="shared" si="24"/>
        <v>0</v>
      </c>
      <c r="J374" s="47">
        <f t="shared" si="24"/>
        <v>57047.51</v>
      </c>
      <c r="K374" s="47">
        <f t="shared" si="24"/>
        <v>9281.39</v>
      </c>
      <c r="L374" s="47">
        <f t="shared" si="24"/>
        <v>285682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1893</v>
      </c>
      <c r="I392" s="18">
        <v>0</v>
      </c>
      <c r="J392" s="24" t="s">
        <v>312</v>
      </c>
      <c r="K392" s="24" t="s">
        <v>312</v>
      </c>
      <c r="L392" s="56">
        <f t="shared" si="26"/>
        <v>1893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1893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1893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1893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1500</v>
      </c>
      <c r="I418" s="18">
        <v>0</v>
      </c>
      <c r="J418" s="18">
        <v>0</v>
      </c>
      <c r="K418" s="18">
        <v>0</v>
      </c>
      <c r="L418" s="56">
        <f t="shared" si="29"/>
        <v>1500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1500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1500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1500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1500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119485</v>
      </c>
      <c r="H431" s="18">
        <v>123143</v>
      </c>
      <c r="I431" s="56">
        <f t="shared" ref="I431:I437" si="33">SUM(F431:H431)</f>
        <v>242628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0</v>
      </c>
      <c r="H432" s="18">
        <v>0</v>
      </c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119485</v>
      </c>
      <c r="H438" s="13">
        <f>SUM(H431:H437)</f>
        <v>123143</v>
      </c>
      <c r="I438" s="13">
        <f>SUM(I431:I437)</f>
        <v>242628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>
        <v>123143</v>
      </c>
      <c r="I443" s="56">
        <f>SUM(F443:H443)</f>
        <v>123143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123143</v>
      </c>
      <c r="I444" s="72">
        <f>SUM(I440:I443)</f>
        <v>123143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119485</v>
      </c>
      <c r="H449" s="18"/>
      <c r="I449" s="56">
        <f>SUM(F449:H449)</f>
        <v>119485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119485</v>
      </c>
      <c r="H450" s="83">
        <f>SUM(H446:H449)</f>
        <v>0</v>
      </c>
      <c r="I450" s="83">
        <f>SUM(I446:I449)</f>
        <v>119485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119485</v>
      </c>
      <c r="H451" s="42">
        <f>H444+H450</f>
        <v>123143</v>
      </c>
      <c r="I451" s="42">
        <f>I444+I450</f>
        <v>242628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-55274</v>
      </c>
      <c r="G455" s="18">
        <v>178525</v>
      </c>
      <c r="H455" s="18">
        <v>10168</v>
      </c>
      <c r="I455" s="18">
        <v>9281</v>
      </c>
      <c r="J455" s="18">
        <v>119092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21001851.890000001</v>
      </c>
      <c r="G458" s="18">
        <v>583635.75</v>
      </c>
      <c r="H458" s="18">
        <v>1483497.74</v>
      </c>
      <c r="I458" s="18">
        <v>285682.2</v>
      </c>
      <c r="J458" s="18">
        <v>1893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9281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21011132.890000001</v>
      </c>
      <c r="G460" s="53">
        <f>SUM(G458:G459)</f>
        <v>583635.75</v>
      </c>
      <c r="H460" s="53">
        <f>SUM(H458:H459)</f>
        <v>1483497.74</v>
      </c>
      <c r="I460" s="53">
        <f>SUM(I458:I459)</f>
        <v>285682.2</v>
      </c>
      <c r="J460" s="53">
        <f>SUM(J458:J459)</f>
        <v>1893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19733548.120000001</v>
      </c>
      <c r="G462" s="18">
        <f>617486+9756.23</f>
        <v>627242.23</v>
      </c>
      <c r="H462" s="18">
        <v>1483497.39</v>
      </c>
      <c r="I462" s="18">
        <v>285682</v>
      </c>
      <c r="J462" s="18">
        <v>1500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275925</v>
      </c>
      <c r="G463" s="18"/>
      <c r="H463" s="18">
        <v>0.78</v>
      </c>
      <c r="I463" s="18">
        <v>9281.2000000000007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20009473.120000001</v>
      </c>
      <c r="G464" s="53">
        <f>SUM(G462:G463)</f>
        <v>627242.23</v>
      </c>
      <c r="H464" s="53">
        <f>SUM(H462:H463)</f>
        <v>1483498.17</v>
      </c>
      <c r="I464" s="53">
        <f>SUM(I462:I463)</f>
        <v>294963.20000000001</v>
      </c>
      <c r="J464" s="53">
        <f>SUM(J462:J463)</f>
        <v>1500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946385.76999999955</v>
      </c>
      <c r="G466" s="53">
        <f>(G455+G460)- G464</f>
        <v>134918.52000000002</v>
      </c>
      <c r="H466" s="53">
        <f>(H455+H460)- H464</f>
        <v>10167.570000000065</v>
      </c>
      <c r="I466" s="53">
        <f>(I455+I460)- I464</f>
        <v>0</v>
      </c>
      <c r="J466" s="53">
        <f>(J455+J460)- J464</f>
        <v>119485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271" t="s">
        <v>895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271" t="s">
        <v>897</v>
      </c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47538</v>
      </c>
      <c r="G497" s="144">
        <v>1944</v>
      </c>
      <c r="H497" s="144"/>
      <c r="I497" s="144">
        <v>49482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903821.59</v>
      </c>
      <c r="G511" s="18">
        <v>558614.31999999995</v>
      </c>
      <c r="H511" s="18">
        <v>290912.63</v>
      </c>
      <c r="I511" s="18">
        <v>4832.5200000000004</v>
      </c>
      <c r="J511" s="18">
        <v>0</v>
      </c>
      <c r="K511" s="18">
        <v>2145</v>
      </c>
      <c r="L511" s="88">
        <f>SUM(F511:K511)</f>
        <v>1760326.06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414960.2</v>
      </c>
      <c r="G512" s="18">
        <v>341484.02</v>
      </c>
      <c r="H512" s="18">
        <v>110769.94</v>
      </c>
      <c r="I512" s="18">
        <v>669.29</v>
      </c>
      <c r="J512" s="18">
        <v>0</v>
      </c>
      <c r="K512" s="18">
        <v>750</v>
      </c>
      <c r="L512" s="88">
        <f>SUM(F512:K512)</f>
        <v>868633.45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625549.39</v>
      </c>
      <c r="G513" s="18">
        <v>400664.42</v>
      </c>
      <c r="H513" s="18">
        <v>499465</v>
      </c>
      <c r="I513" s="18">
        <v>7314.85</v>
      </c>
      <c r="J513" s="18">
        <v>0</v>
      </c>
      <c r="K513" s="18">
        <v>500</v>
      </c>
      <c r="L513" s="88">
        <f>SUM(F513:K513)</f>
        <v>1533493.6600000001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1944331.1800000002</v>
      </c>
      <c r="G514" s="108">
        <f t="shared" ref="G514:L514" si="35">SUM(G511:G513)</f>
        <v>1300762.76</v>
      </c>
      <c r="H514" s="108">
        <f t="shared" si="35"/>
        <v>901147.57000000007</v>
      </c>
      <c r="I514" s="108">
        <f t="shared" si="35"/>
        <v>12816.66</v>
      </c>
      <c r="J514" s="108">
        <f t="shared" si="35"/>
        <v>0</v>
      </c>
      <c r="K514" s="108">
        <f t="shared" si="35"/>
        <v>3395</v>
      </c>
      <c r="L514" s="89">
        <f t="shared" si="35"/>
        <v>4162453.17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31556.4+39831.77</f>
        <v>71388.17</v>
      </c>
      <c r="G516" s="18">
        <f>22923.24+14789.11</f>
        <v>37712.350000000006</v>
      </c>
      <c r="H516" s="18">
        <f>182.16+24464.25+(72000*0.43)+158459.12+850.58+(13518*0.43)+(48120*0.43)</f>
        <v>241420.44999999998</v>
      </c>
      <c r="I516" s="18">
        <f>858.48+1803.75+807.39+148.94</f>
        <v>3618.56</v>
      </c>
      <c r="J516" s="18">
        <f>0</f>
        <v>0</v>
      </c>
      <c r="K516" s="18">
        <v>0</v>
      </c>
      <c r="L516" s="88">
        <f>SUM(F516:K516)</f>
        <v>354139.52999999997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11340.21+23237.46</f>
        <v>34577.67</v>
      </c>
      <c r="G517" s="18">
        <f>5589.78+6222.24</f>
        <v>11812.02</v>
      </c>
      <c r="H517" s="18">
        <f>95.23+16102+49335+(72000*0.24)+28136.2+153.18+(13518*0.24)+(48120*0.24)</f>
        <v>125894.73</v>
      </c>
      <c r="I517" s="18">
        <f>478.17+1132.95+142+120</f>
        <v>1873.1200000000001</v>
      </c>
      <c r="J517" s="18">
        <v>0</v>
      </c>
      <c r="K517" s="18">
        <v>0</v>
      </c>
      <c r="L517" s="88">
        <f>SUM(F517:K517)</f>
        <v>174157.53999999998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16271.39+28401.54</f>
        <v>44672.93</v>
      </c>
      <c r="G518" s="18">
        <f>8020.05+7832.32</f>
        <v>15852.369999999999</v>
      </c>
      <c r="H518" s="18">
        <f>136.61+25222.5+57778.5+(72000*0.33)+40593.19+219.78+(13518*0.33)+(48120*0.33)</f>
        <v>168051.12</v>
      </c>
      <c r="I518" s="18">
        <f>3974.97+65+125+126.47</f>
        <v>4291.4399999999996</v>
      </c>
      <c r="J518" s="18">
        <v>159.97999999999999</v>
      </c>
      <c r="K518" s="18">
        <v>0</v>
      </c>
      <c r="L518" s="88">
        <f>SUM(F518:K518)</f>
        <v>233027.84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150638.76999999999</v>
      </c>
      <c r="G519" s="89">
        <f t="shared" ref="G519:L519" si="36">SUM(G516:G518)</f>
        <v>65376.740000000005</v>
      </c>
      <c r="H519" s="89">
        <f t="shared" si="36"/>
        <v>535366.30000000005</v>
      </c>
      <c r="I519" s="89">
        <f t="shared" si="36"/>
        <v>9783.119999999999</v>
      </c>
      <c r="J519" s="89">
        <f t="shared" si="36"/>
        <v>159.97999999999999</v>
      </c>
      <c r="K519" s="89">
        <f t="shared" si="36"/>
        <v>0</v>
      </c>
      <c r="L519" s="89">
        <f t="shared" si="36"/>
        <v>761324.90999999992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(73562+41132)*0.43</f>
        <v>49318.42</v>
      </c>
      <c r="G521" s="18">
        <f>(18425+23278)*0.43</f>
        <v>17932.29</v>
      </c>
      <c r="H521" s="18">
        <f>4398.95*0.43</f>
        <v>1891.5484999999999</v>
      </c>
      <c r="I521" s="18"/>
      <c r="J521" s="18"/>
      <c r="K521" s="18"/>
      <c r="L521" s="88">
        <f>SUM(F521:K521)</f>
        <v>69142.258499999996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(73562+41132)*0.24</f>
        <v>27526.559999999998</v>
      </c>
      <c r="G522" s="18">
        <f>(18425+23278)*0.24</f>
        <v>10008.719999999999</v>
      </c>
      <c r="H522" s="18">
        <f>4398.95*0.24</f>
        <v>1055.7479999999998</v>
      </c>
      <c r="I522" s="18"/>
      <c r="J522" s="18"/>
      <c r="K522" s="18"/>
      <c r="L522" s="88">
        <f>SUM(F522:K522)</f>
        <v>38591.027999999998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(73562+41132)*0.33</f>
        <v>37849.020000000004</v>
      </c>
      <c r="G523" s="18">
        <f>(18425+23278)*0.33</f>
        <v>13761.99</v>
      </c>
      <c r="H523" s="18">
        <f>4398.95*0.33</f>
        <v>1451.6535000000001</v>
      </c>
      <c r="I523" s="18"/>
      <c r="J523" s="18"/>
      <c r="K523" s="18"/>
      <c r="L523" s="88">
        <f>SUM(F523:K523)</f>
        <v>53062.663500000002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114694</v>
      </c>
      <c r="G524" s="89">
        <f t="shared" ref="G524:L524" si="37">SUM(G521:G523)</f>
        <v>41703</v>
      </c>
      <c r="H524" s="89">
        <f t="shared" si="37"/>
        <v>4398.95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160795.94999999998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209001.81</v>
      </c>
      <c r="I531" s="18"/>
      <c r="J531" s="18"/>
      <c r="K531" s="18"/>
      <c r="L531" s="88">
        <f>SUM(F531:K531)</f>
        <v>209001.81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52155.47</v>
      </c>
      <c r="I532" s="18"/>
      <c r="J532" s="18"/>
      <c r="K532" s="18"/>
      <c r="L532" s="88">
        <f>SUM(F532:K532)</f>
        <v>52155.47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224476.9</v>
      </c>
      <c r="I533" s="18"/>
      <c r="J533" s="18"/>
      <c r="K533" s="18"/>
      <c r="L533" s="88">
        <f>SUM(F533:K533)</f>
        <v>224476.9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485634.18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485634.18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2209663.9500000002</v>
      </c>
      <c r="G535" s="89">
        <f t="shared" ref="G535:L535" si="40">G514+G519+G524+G529+G534</f>
        <v>1407842.5</v>
      </c>
      <c r="H535" s="89">
        <f t="shared" si="40"/>
        <v>1926547</v>
      </c>
      <c r="I535" s="89">
        <f t="shared" si="40"/>
        <v>22599.78</v>
      </c>
      <c r="J535" s="89">
        <f t="shared" si="40"/>
        <v>159.97999999999999</v>
      </c>
      <c r="K535" s="89">
        <f t="shared" si="40"/>
        <v>3395</v>
      </c>
      <c r="L535" s="89">
        <f t="shared" si="40"/>
        <v>5570208.21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1760326.06</v>
      </c>
      <c r="G539" s="87">
        <f>L516</f>
        <v>354139.52999999997</v>
      </c>
      <c r="H539" s="87">
        <f>L521</f>
        <v>69142.258499999996</v>
      </c>
      <c r="I539" s="87">
        <f>L526</f>
        <v>0</v>
      </c>
      <c r="J539" s="87">
        <f>L531</f>
        <v>209001.81</v>
      </c>
      <c r="K539" s="87">
        <f>SUM(F539:J539)</f>
        <v>2392609.6584999999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868633.45</v>
      </c>
      <c r="G540" s="87">
        <f>L517</f>
        <v>174157.53999999998</v>
      </c>
      <c r="H540" s="87">
        <f>L522</f>
        <v>38591.027999999998</v>
      </c>
      <c r="I540" s="87">
        <f>L527</f>
        <v>0</v>
      </c>
      <c r="J540" s="87">
        <f>L532</f>
        <v>52155.47</v>
      </c>
      <c r="K540" s="87">
        <f>SUM(F540:J540)</f>
        <v>1133537.4879999999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1533493.6600000001</v>
      </c>
      <c r="G541" s="87">
        <f>L518</f>
        <v>233027.84</v>
      </c>
      <c r="H541" s="87">
        <f>L523</f>
        <v>53062.663500000002</v>
      </c>
      <c r="I541" s="87">
        <f>L528</f>
        <v>0</v>
      </c>
      <c r="J541" s="87">
        <f>L533</f>
        <v>224476.9</v>
      </c>
      <c r="K541" s="87">
        <f>SUM(F541:J541)</f>
        <v>2044061.0635000002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4162453.17</v>
      </c>
      <c r="G542" s="89">
        <f t="shared" si="41"/>
        <v>761324.90999999992</v>
      </c>
      <c r="H542" s="89">
        <f t="shared" si="41"/>
        <v>160795.94999999998</v>
      </c>
      <c r="I542" s="89">
        <f t="shared" si="41"/>
        <v>0</v>
      </c>
      <c r="J542" s="89">
        <f t="shared" si="41"/>
        <v>485634.18</v>
      </c>
      <c r="K542" s="89">
        <f t="shared" si="41"/>
        <v>5570208.21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f>11750.89*0.43</f>
        <v>5052.8827000000001</v>
      </c>
      <c r="I552" s="18"/>
      <c r="J552" s="18"/>
      <c r="K552" s="18"/>
      <c r="L552" s="88">
        <f>SUM(F552:K552)</f>
        <v>5052.8827000000001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f>11750.89*0.24</f>
        <v>2820.2135999999996</v>
      </c>
      <c r="I553" s="18"/>
      <c r="J553" s="18"/>
      <c r="K553" s="18"/>
      <c r="L553" s="88">
        <f>SUM(F553:K553)</f>
        <v>2820.2135999999996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>
        <f>11750.89*0.33</f>
        <v>3877.7937000000002</v>
      </c>
      <c r="I554" s="18"/>
      <c r="J554" s="18"/>
      <c r="K554" s="18"/>
      <c r="L554" s="88">
        <f>SUM(F554:K554)</f>
        <v>3877.7937000000002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11750.89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11750.89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11750.89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11750.89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20408.599999999999</v>
      </c>
      <c r="I565" s="87">
        <f>SUM(F565:H565)</f>
        <v>20408.599999999999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290022.63</v>
      </c>
      <c r="G572" s="18">
        <v>110647.3</v>
      </c>
      <c r="H572" s="18">
        <v>563048.06000000006</v>
      </c>
      <c r="I572" s="87">
        <f t="shared" si="46"/>
        <v>963717.99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42134.05</v>
      </c>
      <c r="I574" s="87">
        <f t="shared" si="46"/>
        <v>42134.05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385210.15</v>
      </c>
      <c r="I581" s="18">
        <v>195155.8</v>
      </c>
      <c r="J581" s="18">
        <v>276932.09000000003</v>
      </c>
      <c r="K581" s="104">
        <f t="shared" ref="K581:K587" si="47">SUM(H581:J581)</f>
        <v>857298.04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209001.81</v>
      </c>
      <c r="I582" s="18">
        <v>52155.47</v>
      </c>
      <c r="J582" s="18">
        <v>224476.9</v>
      </c>
      <c r="K582" s="104">
        <f t="shared" si="47"/>
        <v>485634.18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35184.46</v>
      </c>
      <c r="K583" s="104">
        <f t="shared" si="47"/>
        <v>35184.46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14056.1</v>
      </c>
      <c r="J584" s="18">
        <v>44472.05</v>
      </c>
      <c r="K584" s="104">
        <f t="shared" si="47"/>
        <v>58528.15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19956.95</v>
      </c>
      <c r="I585" s="18">
        <v>8564.91</v>
      </c>
      <c r="J585" s="18">
        <v>8059.82</v>
      </c>
      <c r="K585" s="104">
        <f t="shared" si="47"/>
        <v>36581.68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614168.90999999992</v>
      </c>
      <c r="I588" s="108">
        <f>SUM(I581:I587)</f>
        <v>269932.27999999997</v>
      </c>
      <c r="J588" s="108">
        <f>SUM(J581:J587)</f>
        <v>589125.31999999995</v>
      </c>
      <c r="K588" s="108">
        <f>SUM(K581:K587)</f>
        <v>1473226.5099999998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17181.14+28409.87</f>
        <v>45591.009999999995</v>
      </c>
      <c r="I594" s="18">
        <v>55980.66</v>
      </c>
      <c r="J594" s="18">
        <v>46546.6</v>
      </c>
      <c r="K594" s="104">
        <f>SUM(H594:J594)</f>
        <v>148118.26999999999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45591.009999999995</v>
      </c>
      <c r="I595" s="108">
        <f>SUM(I592:I594)</f>
        <v>55980.66</v>
      </c>
      <c r="J595" s="108">
        <f>SUM(J592:J594)</f>
        <v>46546.6</v>
      </c>
      <c r="K595" s="108">
        <f>SUM(K592:K594)</f>
        <v>148118.26999999999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1163330.21</v>
      </c>
      <c r="H607" s="109">
        <f>SUM(F44)</f>
        <v>1163330.21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140648.85</v>
      </c>
      <c r="H608" s="109">
        <f>SUM(G44)</f>
        <v>140648.84999999998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149545.22999999998</v>
      </c>
      <c r="H609" s="109">
        <f>SUM(H44)</f>
        <v>149545.23000000001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242628</v>
      </c>
      <c r="H611" s="109">
        <f>SUM(J44)</f>
        <v>242628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946385.77</v>
      </c>
      <c r="H612" s="109">
        <f>F466</f>
        <v>946385.76999999955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134918.51999999999</v>
      </c>
      <c r="H613" s="109">
        <f>G466</f>
        <v>134918.52000000002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10167.57</v>
      </c>
      <c r="H614" s="109">
        <f>H466</f>
        <v>10167.570000000065</v>
      </c>
      <c r="I614" s="121" t="s">
        <v>110</v>
      </c>
      <c r="J614" s="109">
        <f t="shared" si="49"/>
        <v>-6.5483618527650833E-11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119485</v>
      </c>
      <c r="H616" s="109">
        <f>J466</f>
        <v>119485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21001851.890000001</v>
      </c>
      <c r="H617" s="104">
        <f>SUM(F458)</f>
        <v>21001851.890000001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583635.75</v>
      </c>
      <c r="H618" s="104">
        <f>SUM(G458)</f>
        <v>583635.75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1483497.74</v>
      </c>
      <c r="H619" s="104">
        <f>SUM(H458)</f>
        <v>1483497.74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285682.2</v>
      </c>
      <c r="H620" s="104">
        <f>SUM(I458)</f>
        <v>285682.2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1893</v>
      </c>
      <c r="H621" s="104">
        <f>SUM(J458)</f>
        <v>1893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19733548.120000001</v>
      </c>
      <c r="H622" s="104">
        <f>SUM(F462)</f>
        <v>19733548.120000001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1483497.39</v>
      </c>
      <c r="H623" s="104">
        <f>SUM(H462)</f>
        <v>1483497.39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239022</v>
      </c>
      <c r="H624" s="104">
        <f>I361</f>
        <v>239022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627242.23</v>
      </c>
      <c r="H625" s="104">
        <f>SUM(G462)</f>
        <v>627242.23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285682</v>
      </c>
      <c r="H626" s="104">
        <f>SUM(I462)</f>
        <v>285682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1893</v>
      </c>
      <c r="H627" s="164">
        <f>SUM(J458)</f>
        <v>1893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1500</v>
      </c>
      <c r="H628" s="164">
        <f>SUM(J462)</f>
        <v>1500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119485</v>
      </c>
      <c r="H630" s="104">
        <f>SUM(G451)</f>
        <v>119485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123143</v>
      </c>
      <c r="H631" s="104">
        <f>SUM(H451)</f>
        <v>123143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242628</v>
      </c>
      <c r="H632" s="104">
        <f>SUM(I451)</f>
        <v>242628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1893</v>
      </c>
      <c r="H634" s="104">
        <f>H400</f>
        <v>1893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1893</v>
      </c>
      <c r="H636" s="104">
        <f>L400</f>
        <v>1893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1473226.5099999998</v>
      </c>
      <c r="H637" s="104">
        <f>L200+L218+L236</f>
        <v>1473226.5099999998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148118.26999999999</v>
      </c>
      <c r="H638" s="104">
        <f>(J249+J330)-(J247+J328)</f>
        <v>148118.27000000002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614168.91</v>
      </c>
      <c r="H639" s="104">
        <f>H588</f>
        <v>614168.90999999992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269932.27999999997</v>
      </c>
      <c r="H640" s="104">
        <f>I588</f>
        <v>269932.27999999997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589125.31999999995</v>
      </c>
      <c r="H641" s="104">
        <f>J588</f>
        <v>589125.31999999995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275925.25</v>
      </c>
      <c r="H644" s="104">
        <f>K257+K338</f>
        <v>275925.25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9235894.8499999996</v>
      </c>
      <c r="G650" s="19">
        <f>(L221+L301+L351)</f>
        <v>4650561.3100000005</v>
      </c>
      <c r="H650" s="19">
        <f>(L239+L320+L352)</f>
        <v>7672149.3799999999</v>
      </c>
      <c r="I650" s="19">
        <f>SUM(F650:H650)</f>
        <v>21558605.539999999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103087.66178231812</v>
      </c>
      <c r="G651" s="19">
        <f>(L351/IF(SUM(L350:L352)=0,1,SUM(L350:L352))*(SUM(G89:G102)))</f>
        <v>67751.9829865418</v>
      </c>
      <c r="H651" s="19">
        <f>(L352/IF(SUM(L350:L352)=0,1,SUM(L350:L352))*(SUM(G89:G102)))</f>
        <v>166065.3552311401</v>
      </c>
      <c r="I651" s="19">
        <f>SUM(F651:H651)</f>
        <v>336905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614168.91</v>
      </c>
      <c r="G652" s="19">
        <f>(L218+L298)-(J218+J298)</f>
        <v>269932.27999999997</v>
      </c>
      <c r="H652" s="19">
        <f>(L236+L317)-(J236+J317)</f>
        <v>589125.31999999995</v>
      </c>
      <c r="I652" s="19">
        <f>SUM(F652:H652)</f>
        <v>1473226.5099999998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335613.64</v>
      </c>
      <c r="G653" s="200">
        <f>SUM(G565:G577)+SUM(I592:I594)+L602</f>
        <v>166627.96000000002</v>
      </c>
      <c r="H653" s="200">
        <f>SUM(H565:H577)+SUM(J592:J594)+L603</f>
        <v>672137.31</v>
      </c>
      <c r="I653" s="19">
        <f>SUM(F653:H653)</f>
        <v>1174378.9100000001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8183024.638217682</v>
      </c>
      <c r="G654" s="19">
        <f>G650-SUM(G651:G653)</f>
        <v>4146249.0870134588</v>
      </c>
      <c r="H654" s="19">
        <f>H650-SUM(H651:H653)</f>
        <v>6244821.3947688602</v>
      </c>
      <c r="I654" s="19">
        <f>I650-SUM(I651:I653)</f>
        <v>18574095.119999997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544.57000000000005</v>
      </c>
      <c r="G655" s="249">
        <v>327.96</v>
      </c>
      <c r="H655" s="249">
        <v>447.72</v>
      </c>
      <c r="I655" s="19">
        <f>SUM(F655:H655)</f>
        <v>1320.25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15026.58</v>
      </c>
      <c r="G657" s="19">
        <f>ROUND(G654/G655,2)</f>
        <v>12642.55</v>
      </c>
      <c r="H657" s="19">
        <f>ROUND(H654/H655,2)</f>
        <v>13948.05</v>
      </c>
      <c r="I657" s="19">
        <f>ROUND(I654/I655,2)</f>
        <v>14068.62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-8.61</v>
      </c>
      <c r="I660" s="19">
        <f>SUM(F660:H660)</f>
        <v>-8.61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15026.58</v>
      </c>
      <c r="G662" s="19">
        <f>ROUND((G654+G659)/(G655+G660),2)</f>
        <v>12642.55</v>
      </c>
      <c r="H662" s="19">
        <f>ROUND((H654+H659)/(H655+H660),2)</f>
        <v>14221.54</v>
      </c>
      <c r="I662" s="19">
        <f>ROUND((I654+I659)/(I655+I660),2)</f>
        <v>14160.97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CFB2-4774-481A-B738-0FEF0A63CA34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Newfound Area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5883753.7800000003</v>
      </c>
      <c r="C9" s="230">
        <f>'DOE25'!G189+'DOE25'!G207+'DOE25'!G225+'DOE25'!G268+'DOE25'!G287+'DOE25'!G306</f>
        <v>2217459.92</v>
      </c>
    </row>
    <row r="10" spans="1:3" x14ac:dyDescent="0.2">
      <c r="A10" t="s">
        <v>813</v>
      </c>
      <c r="B10" s="241">
        <f>35046+4911909.63+180+24409.38+252172.34</f>
        <v>5223717.3499999996</v>
      </c>
      <c r="C10" s="241">
        <f>C9-C11-C12</f>
        <v>1985717.4671049998</v>
      </c>
    </row>
    <row r="11" spans="1:3" x14ac:dyDescent="0.2">
      <c r="A11" t="s">
        <v>814</v>
      </c>
      <c r="B11" s="241">
        <v>345899.42</v>
      </c>
      <c r="C11" s="241">
        <f>36051.9+5693.1+(0.0765*B11)+(1388707.22*0.1)+(6339.44*0.1)</f>
        <v>207710.97163000001</v>
      </c>
    </row>
    <row r="12" spans="1:3" x14ac:dyDescent="0.2">
      <c r="A12" t="s">
        <v>815</v>
      </c>
      <c r="B12" s="241">
        <f>138564.41+175572.6</f>
        <v>314137.01</v>
      </c>
      <c r="C12" s="241">
        <f>0.0765*B12</f>
        <v>24031.481264999999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5883753.7799999993</v>
      </c>
      <c r="C13" s="232">
        <f>SUM(C10:C12)</f>
        <v>2217459.92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1944331.1800000002</v>
      </c>
      <c r="C18" s="230">
        <f>'DOE25'!G190+'DOE25'!G208+'DOE25'!G226+'DOE25'!G269+'DOE25'!G288+'DOE25'!G307</f>
        <v>1249715.6599999999</v>
      </c>
    </row>
    <row r="19" spans="1:3" x14ac:dyDescent="0.2">
      <c r="A19" t="s">
        <v>813</v>
      </c>
      <c r="B19" s="241">
        <f>662711.85+57068+60726.3</f>
        <v>780506.15</v>
      </c>
      <c r="C19" s="241">
        <f>C18-C20-C21</f>
        <v>556416.01020499982</v>
      </c>
    </row>
    <row r="20" spans="1:3" x14ac:dyDescent="0.2">
      <c r="A20" t="s">
        <v>814</v>
      </c>
      <c r="B20" s="241">
        <f>1028307.56+58929.02+10854</f>
        <v>1098090.58</v>
      </c>
      <c r="C20" s="241">
        <f>(0.0765*B20)+105398.25+2417.43+155.14+(992592.43*0.5)</f>
        <v>688270.96437000006</v>
      </c>
    </row>
    <row r="21" spans="1:3" x14ac:dyDescent="0.2">
      <c r="A21" t="s">
        <v>815</v>
      </c>
      <c r="B21" s="241">
        <v>65734.45</v>
      </c>
      <c r="C21" s="241">
        <f>0.0765*B21</f>
        <v>5028.6854249999997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1944331.18</v>
      </c>
      <c r="C22" s="232">
        <f>SUM(C19:C21)</f>
        <v>1249715.6599999999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424184.21</v>
      </c>
      <c r="C36" s="236">
        <f>'DOE25'!G192+'DOE25'!G210+'DOE25'!G228+'DOE25'!G271+'DOE25'!G290+'DOE25'!G309</f>
        <v>42547.44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>
        <v>10885.5</v>
      </c>
      <c r="C38" s="241">
        <f>0.0765*B38</f>
        <v>832.74074999999993</v>
      </c>
    </row>
    <row r="39" spans="1:3" x14ac:dyDescent="0.2">
      <c r="A39" t="s">
        <v>815</v>
      </c>
      <c r="B39" s="241">
        <f>424184.21-10885.5</f>
        <v>413298.71</v>
      </c>
      <c r="C39" s="241">
        <f>42547.44-C38</f>
        <v>41714.699250000005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424184.21</v>
      </c>
      <c r="C40" s="232">
        <f>SUM(C37:C39)</f>
        <v>42547.44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16E0-168B-4903-BB40-07FE506FBA4A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Newfound Area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12363867.17</v>
      </c>
      <c r="D5" s="20">
        <f>SUM('DOE25'!L189:L192)+SUM('DOE25'!L207:L210)+SUM('DOE25'!L225:L228)-F5-G5</f>
        <v>12266611.640000001</v>
      </c>
      <c r="E5" s="244"/>
      <c r="F5" s="256">
        <f>SUM('DOE25'!J189:J192)+SUM('DOE25'!J207:J210)+SUM('DOE25'!J225:J228)</f>
        <v>29917.93</v>
      </c>
      <c r="G5" s="53">
        <f>SUM('DOE25'!K189:K192)+SUM('DOE25'!K207:K210)+SUM('DOE25'!K225:K228)</f>
        <v>67337.599999999991</v>
      </c>
      <c r="H5" s="260"/>
    </row>
    <row r="6" spans="1:9" x14ac:dyDescent="0.2">
      <c r="A6" s="32">
        <v>2100</v>
      </c>
      <c r="B6" t="s">
        <v>835</v>
      </c>
      <c r="C6" s="246">
        <f t="shared" si="0"/>
        <v>1657527.25</v>
      </c>
      <c r="D6" s="20">
        <f>'DOE25'!L194+'DOE25'!L212+'DOE25'!L230-F6-G6</f>
        <v>1655336.71</v>
      </c>
      <c r="E6" s="244"/>
      <c r="F6" s="256">
        <f>'DOE25'!J194+'DOE25'!J212+'DOE25'!J230</f>
        <v>1870.54</v>
      </c>
      <c r="G6" s="53">
        <f>'DOE25'!K194+'DOE25'!K212+'DOE25'!K230</f>
        <v>320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687854.3600000001</v>
      </c>
      <c r="D7" s="20">
        <f>'DOE25'!L195+'DOE25'!L213+'DOE25'!L231-F7-G7</f>
        <v>492728.26000000013</v>
      </c>
      <c r="E7" s="244"/>
      <c r="F7" s="256">
        <f>'DOE25'!J195+'DOE25'!J213+'DOE25'!J231</f>
        <v>83899.389999999985</v>
      </c>
      <c r="G7" s="53">
        <f>'DOE25'!K195+'DOE25'!K213+'DOE25'!K231</f>
        <v>111226.70999999999</v>
      </c>
      <c r="H7" s="260"/>
    </row>
    <row r="8" spans="1:9" x14ac:dyDescent="0.2">
      <c r="A8" s="32">
        <v>2300</v>
      </c>
      <c r="B8" t="s">
        <v>836</v>
      </c>
      <c r="C8" s="246">
        <f t="shared" si="0"/>
        <v>740136.8600000001</v>
      </c>
      <c r="D8" s="244"/>
      <c r="E8" s="20">
        <f>'DOE25'!L196+'DOE25'!L214+'DOE25'!L232-F8-G8-D9-D11</f>
        <v>716088.1100000001</v>
      </c>
      <c r="F8" s="256">
        <f>'DOE25'!J196+'DOE25'!J214+'DOE25'!J232</f>
        <v>5323.61</v>
      </c>
      <c r="G8" s="53">
        <f>'DOE25'!K196+'DOE25'!K214+'DOE25'!K232</f>
        <v>18725.14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1146856.6599999999</v>
      </c>
      <c r="D12" s="20">
        <f>'DOE25'!L197+'DOE25'!L215+'DOE25'!L233-F12-G12</f>
        <v>1129824.8299999998</v>
      </c>
      <c r="E12" s="244"/>
      <c r="F12" s="256">
        <f>'DOE25'!J197+'DOE25'!J215+'DOE25'!J233</f>
        <v>792.09</v>
      </c>
      <c r="G12" s="53">
        <f>'DOE25'!K197+'DOE25'!K215+'DOE25'!K233</f>
        <v>16239.740000000002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1388154.06</v>
      </c>
      <c r="D14" s="20">
        <f>'DOE25'!L199+'DOE25'!L217+'DOE25'!L235-F14-G14</f>
        <v>1379020.49</v>
      </c>
      <c r="E14" s="244"/>
      <c r="F14" s="256">
        <f>'DOE25'!J199+'DOE25'!J217+'DOE25'!J235</f>
        <v>9133.57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1473226.5099999998</v>
      </c>
      <c r="D15" s="20">
        <f>'DOE25'!L200+'DOE25'!L218+'DOE25'!L236-F15-G15</f>
        <v>1473226.5099999998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388695.85000000003</v>
      </c>
      <c r="D29" s="20">
        <f>'DOE25'!L350+'DOE25'!L351+'DOE25'!L352-'DOE25'!I359-F29-G29</f>
        <v>385717.36000000004</v>
      </c>
      <c r="E29" s="244"/>
      <c r="F29" s="256">
        <f>'DOE25'!J350+'DOE25'!J351+'DOE25'!J352</f>
        <v>2978.49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1483497.39</v>
      </c>
      <c r="D31" s="20">
        <f>'DOE25'!L282+'DOE25'!L301+'DOE25'!L320+'DOE25'!L325+'DOE25'!L326+'DOE25'!L327-F31-G31</f>
        <v>1466316.25</v>
      </c>
      <c r="E31" s="244"/>
      <c r="F31" s="256">
        <f>'DOE25'!J282+'DOE25'!J301+'DOE25'!J320+'DOE25'!J325+'DOE25'!J326+'DOE25'!J327</f>
        <v>17181.14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20248782.049999997</v>
      </c>
      <c r="E33" s="247">
        <f>SUM(E5:E31)</f>
        <v>716088.1100000001</v>
      </c>
      <c r="F33" s="247">
        <f>SUM(F5:F31)</f>
        <v>151096.75999999995</v>
      </c>
      <c r="G33" s="247">
        <f>SUM(G5:G31)</f>
        <v>213849.19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716088.1100000001</v>
      </c>
      <c r="E35" s="250"/>
    </row>
    <row r="36" spans="2:8" ht="12" thickTop="1" x14ac:dyDescent="0.2">
      <c r="B36" t="s">
        <v>849</v>
      </c>
      <c r="D36" s="20">
        <f>D33</f>
        <v>20248782.049999997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78F0-A626-45C8-A6EF-8A1E8A35969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1051491.8699999999</v>
      </c>
      <c r="D9" s="95">
        <f>'DOE25'!G9</f>
        <v>99544.58</v>
      </c>
      <c r="E9" s="95">
        <f>'DOE25'!H9</f>
        <v>0</v>
      </c>
      <c r="F9" s="95">
        <f>'DOE25'!I9</f>
        <v>0</v>
      </c>
      <c r="G9" s="95">
        <f>'DOE25'!J9</f>
        <v>242628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73710.84</v>
      </c>
      <c r="D12" s="95">
        <f>'DOE25'!G12</f>
        <v>22861.45</v>
      </c>
      <c r="E12" s="95">
        <f>'DOE25'!H12</f>
        <v>5515.52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37520.14</v>
      </c>
      <c r="D13" s="95">
        <f>'DOE25'!G13</f>
        <v>18242.82</v>
      </c>
      <c r="E13" s="95">
        <f>'DOE25'!H13</f>
        <v>144029.71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607.36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1163330.21</v>
      </c>
      <c r="D19" s="41">
        <f>SUM(D9:D18)</f>
        <v>140648.85</v>
      </c>
      <c r="E19" s="41">
        <f>SUM(E9:E18)</f>
        <v>149545.22999999998</v>
      </c>
      <c r="F19" s="41">
        <f>SUM(F9:F18)</f>
        <v>0</v>
      </c>
      <c r="G19" s="41">
        <f>SUM(G9:G18)</f>
        <v>242628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102087.81000000001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164143.16</v>
      </c>
      <c r="D24" s="95">
        <f>'DOE25'!G25</f>
        <v>264.99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52801.279999999999</v>
      </c>
      <c r="D28" s="95">
        <f>'DOE25'!G29</f>
        <v>5465.34</v>
      </c>
      <c r="E28" s="95">
        <f>'DOE25'!H29</f>
        <v>2476.9299999999998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34812.92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123143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216944.44</v>
      </c>
      <c r="D32" s="41">
        <f>SUM(D22:D31)</f>
        <v>5730.33</v>
      </c>
      <c r="E32" s="41">
        <f>SUM(E22:E31)</f>
        <v>139377.66</v>
      </c>
      <c r="F32" s="41">
        <f>SUM(F22:F31)</f>
        <v>0</v>
      </c>
      <c r="G32" s="41">
        <f>SUM(G22:G31)</f>
        <v>123143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134918.51999999999</v>
      </c>
      <c r="E40" s="95">
        <f>'DOE25'!H41</f>
        <v>10167.57</v>
      </c>
      <c r="F40" s="95">
        <f>'DOE25'!I41</f>
        <v>0</v>
      </c>
      <c r="G40" s="95">
        <f>'DOE25'!J41</f>
        <v>119485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946385.77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946385.77</v>
      </c>
      <c r="D42" s="41">
        <f>SUM(D34:D41)</f>
        <v>134918.51999999999</v>
      </c>
      <c r="E42" s="41">
        <f>SUM(E34:E41)</f>
        <v>10167.57</v>
      </c>
      <c r="F42" s="41">
        <f>SUM(F34:F41)</f>
        <v>0</v>
      </c>
      <c r="G42" s="41">
        <f>SUM(G34:G41)</f>
        <v>119485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1163330.21</v>
      </c>
      <c r="D43" s="41">
        <f>D42+D32</f>
        <v>140648.84999999998</v>
      </c>
      <c r="E43" s="41">
        <f>E42+E32</f>
        <v>149545.23000000001</v>
      </c>
      <c r="F43" s="41">
        <f>F42+F32</f>
        <v>0</v>
      </c>
      <c r="G43" s="41">
        <f>G42+G32</f>
        <v>242628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12273616</v>
      </c>
      <c r="D48" s="95">
        <f>'DOE25'!G52</f>
        <v>0</v>
      </c>
      <c r="E48" s="95">
        <f>'DOE25'!H52</f>
        <v>66852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111561.76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5446.69</v>
      </c>
      <c r="D51" s="95">
        <f>'DOE25'!G88</f>
        <v>464.27</v>
      </c>
      <c r="E51" s="95">
        <f>'DOE25'!H88</f>
        <v>0</v>
      </c>
      <c r="F51" s="95">
        <f>'DOE25'!I88</f>
        <v>0</v>
      </c>
      <c r="G51" s="95">
        <f>'DOE25'!J88</f>
        <v>1893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336905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59152.42</v>
      </c>
      <c r="D53" s="95">
        <f>SUM('DOE25'!G90:G102)</f>
        <v>0</v>
      </c>
      <c r="E53" s="95">
        <f>SUM('DOE25'!H90:H102)</f>
        <v>22708.83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176160.87</v>
      </c>
      <c r="D54" s="130">
        <f>SUM(D49:D53)</f>
        <v>337369.27</v>
      </c>
      <c r="E54" s="130">
        <f>SUM(E49:E53)</f>
        <v>22708.83</v>
      </c>
      <c r="F54" s="130">
        <f>SUM(F49:F53)</f>
        <v>0</v>
      </c>
      <c r="G54" s="130">
        <f>SUM(G49:G53)</f>
        <v>1893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12449776.869999999</v>
      </c>
      <c r="D55" s="22">
        <f>D48+D54</f>
        <v>337369.27</v>
      </c>
      <c r="E55" s="22">
        <f>E48+E54</f>
        <v>89560.83</v>
      </c>
      <c r="F55" s="22">
        <f>F48+F54</f>
        <v>0</v>
      </c>
      <c r="G55" s="22">
        <f>G48+G54</f>
        <v>1893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2762615.77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4178340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1059928.23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98121.66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8099005.6600000001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7661.5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119794.52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5431.2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12000</v>
      </c>
      <c r="D69" s="95">
        <f>SUM('DOE25'!G123:G127)</f>
        <v>6006.24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144887.22</v>
      </c>
      <c r="D70" s="130">
        <f>SUM(D64:D69)</f>
        <v>6006.24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8243892.8799999999</v>
      </c>
      <c r="D73" s="130">
        <f>SUM(D71:D72)+D70+D62</f>
        <v>6006.24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304888.46999999997</v>
      </c>
      <c r="D80" s="95">
        <f>SUM('DOE25'!G145:G153)</f>
        <v>240260.24</v>
      </c>
      <c r="E80" s="95">
        <f>SUM('DOE25'!H145:H153)</f>
        <v>1393936.91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3293.67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308182.13999999996</v>
      </c>
      <c r="D83" s="131">
        <f>SUM(D77:D82)</f>
        <v>240260.24</v>
      </c>
      <c r="E83" s="131">
        <f>SUM(E77:E82)</f>
        <v>1393936.91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275925.25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9756.9500000000007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285682.2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21001851.890000001</v>
      </c>
      <c r="D96" s="86">
        <f>D55+D73+D83+D95</f>
        <v>583635.75</v>
      </c>
      <c r="E96" s="86">
        <f>E55+E73+E83+E95</f>
        <v>1483497.74</v>
      </c>
      <c r="F96" s="86">
        <f>F55+F73+F83+F95</f>
        <v>285682.2</v>
      </c>
      <c r="G96" s="86">
        <f>G55+G73+G95</f>
        <v>1893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7978679.0499999998</v>
      </c>
      <c r="D101" s="24" t="s">
        <v>312</v>
      </c>
      <c r="E101" s="95">
        <f>('DOE25'!L268)+('DOE25'!L287)+('DOE25'!L306)</f>
        <v>498693.34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3984555.05</v>
      </c>
      <c r="D102" s="24" t="s">
        <v>312</v>
      </c>
      <c r="E102" s="95">
        <f>('DOE25'!L269)+('DOE25'!L288)+('DOE25'!L307)</f>
        <v>224265.48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42134.05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358499.02</v>
      </c>
      <c r="D104" s="24" t="s">
        <v>312</v>
      </c>
      <c r="E104" s="95">
        <f>+('DOE25'!L271)+('DOE25'!L290)+('DOE25'!L309)</f>
        <v>325591.05000000005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12363867.17</v>
      </c>
      <c r="D107" s="86">
        <f>SUM(D101:D106)</f>
        <v>0</v>
      </c>
      <c r="E107" s="86">
        <f>SUM(E101:E106)</f>
        <v>1048549.8700000001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1657527.25</v>
      </c>
      <c r="D110" s="24" t="s">
        <v>312</v>
      </c>
      <c r="E110" s="95">
        <f>+('DOE25'!L273)+('DOE25'!L292)+('DOE25'!L311)</f>
        <v>248351.72999999998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687854.3600000001</v>
      </c>
      <c r="D111" s="24" t="s">
        <v>312</v>
      </c>
      <c r="E111" s="95">
        <f>+('DOE25'!L274)+('DOE25'!L293)+('DOE25'!L312)</f>
        <v>154626.31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740136.8600000001</v>
      </c>
      <c r="D112" s="24" t="s">
        <v>312</v>
      </c>
      <c r="E112" s="95">
        <f>+('DOE25'!L275)+('DOE25'!L294)+('DOE25'!L313)</f>
        <v>26969.480000000003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1146856.6599999999</v>
      </c>
      <c r="D113" s="24" t="s">
        <v>312</v>
      </c>
      <c r="E113" s="95">
        <f>+('DOE25'!L276)+('DOE25'!L295)+('DOE25'!L314)</f>
        <v>5000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1388154.06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1473226.5099999998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617485.28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7093755.7000000011</v>
      </c>
      <c r="D120" s="86">
        <f>SUM(D110:D119)</f>
        <v>617485.28</v>
      </c>
      <c r="E120" s="86">
        <f>SUM(E110:E119)</f>
        <v>434947.51999999996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276400.61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9756.9500000000007</v>
      </c>
      <c r="E126" s="95">
        <f>'DOE25'!L336</f>
        <v>0</v>
      </c>
      <c r="F126" s="95">
        <f>'DOE25'!K373</f>
        <v>9281.39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275925.25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-1893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275925.25</v>
      </c>
      <c r="D136" s="141">
        <f>SUM(D122:D135)</f>
        <v>9756.9500000000007</v>
      </c>
      <c r="E136" s="141">
        <f>SUM(E122:E135)</f>
        <v>0</v>
      </c>
      <c r="F136" s="141">
        <f>SUM(F122:F135)</f>
        <v>285682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19733548.120000001</v>
      </c>
      <c r="D137" s="86">
        <f>(D107+D120+D136)</f>
        <v>627242.23</v>
      </c>
      <c r="E137" s="86">
        <f>(E107+E120+E136)</f>
        <v>1483497.3900000001</v>
      </c>
      <c r="F137" s="86">
        <f>(F107+F120+F136)</f>
        <v>285682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2911-081B-4BCF-A1E8-2D7353ECA4F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Newfound Area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15027</v>
      </c>
    </row>
    <row r="5" spans="1:4" x14ac:dyDescent="0.2">
      <c r="B5" t="s">
        <v>735</v>
      </c>
      <c r="C5" s="179">
        <f>IF('DOE25'!G655+'DOE25'!G660=0,0,ROUND('DOE25'!G662,0))</f>
        <v>12643</v>
      </c>
    </row>
    <row r="6" spans="1:4" x14ac:dyDescent="0.2">
      <c r="B6" t="s">
        <v>62</v>
      </c>
      <c r="C6" s="179">
        <f>IF('DOE25'!H655+'DOE25'!H660=0,0,ROUND('DOE25'!H662,0))</f>
        <v>14222</v>
      </c>
    </row>
    <row r="7" spans="1:4" x14ac:dyDescent="0.2">
      <c r="B7" t="s">
        <v>736</v>
      </c>
      <c r="C7" s="179">
        <f>IF('DOE25'!I655+'DOE25'!I660=0,0,ROUND('DOE25'!I662,0))</f>
        <v>14161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8477372</v>
      </c>
      <c r="D10" s="182">
        <f>ROUND((C10/$C$28)*100,1)</f>
        <v>39.9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4208821</v>
      </c>
      <c r="D11" s="182">
        <f>ROUND((C11/$C$28)*100,1)</f>
        <v>19.8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42134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684090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1905879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842481</v>
      </c>
      <c r="D16" s="182">
        <f t="shared" si="0"/>
        <v>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767106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1151857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1388154</v>
      </c>
      <c r="D20" s="182">
        <f t="shared" si="0"/>
        <v>6.5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1473227</v>
      </c>
      <c r="D21" s="182">
        <f t="shared" si="0"/>
        <v>6.9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280580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21221701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276401</v>
      </c>
    </row>
    <row r="30" spans="1:4" x14ac:dyDescent="0.2">
      <c r="B30" s="187" t="s">
        <v>760</v>
      </c>
      <c r="C30" s="180">
        <f>SUM(C28:C29)</f>
        <v>21498102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12340468</v>
      </c>
      <c r="D35" s="182">
        <f t="shared" ref="D35:D40" si="1">ROUND((C35/$C$41)*100,1)</f>
        <v>54.3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201226.96999999881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6940956</v>
      </c>
      <c r="D37" s="182">
        <f t="shared" si="1"/>
        <v>30.5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1308943</v>
      </c>
      <c r="D38" s="182">
        <f t="shared" si="1"/>
        <v>5.8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1942379</v>
      </c>
      <c r="D39" s="182">
        <f t="shared" si="1"/>
        <v>8.5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22733972.969999999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363-9252-44C8-BF3B-7C29235DF89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Newfound Area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893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C39:CM39"/>
    <mergeCell ref="CP39:CZ39"/>
    <mergeCell ref="BP39:BZ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2010-09-22T15:18:09Z</cp:lastPrinted>
  <dcterms:created xsi:type="dcterms:W3CDTF">1997-12-04T19:04:30Z</dcterms:created>
  <dcterms:modified xsi:type="dcterms:W3CDTF">2025-01-09T20:09:13Z</dcterms:modified>
</cp:coreProperties>
</file>