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34300D1B-69EA-43EC-B31C-9543CCB93840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3B406A30-73A9-4B09-988E-CFCCBC2E00A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37" i="1"/>
  <c r="G570" i="1"/>
  <c r="H512" i="1"/>
  <c r="H208" i="1"/>
  <c r="H232" i="1"/>
  <c r="L232" i="1" s="1"/>
  <c r="H214" i="1"/>
  <c r="L214" i="1" s="1"/>
  <c r="H196" i="1"/>
  <c r="H203" i="1" s="1"/>
  <c r="H249" i="1" s="1"/>
  <c r="H263" i="1" s="1"/>
  <c r="D11" i="13"/>
  <c r="I197" i="1"/>
  <c r="L197" i="1" s="1"/>
  <c r="C60" i="2"/>
  <c r="B2" i="13"/>
  <c r="F8" i="13"/>
  <c r="G8" i="13"/>
  <c r="D39" i="13"/>
  <c r="F13" i="13"/>
  <c r="G13" i="13"/>
  <c r="L198" i="1"/>
  <c r="C19" i="10" s="1"/>
  <c r="L234" i="1"/>
  <c r="L216" i="1"/>
  <c r="F16" i="13"/>
  <c r="G16" i="13"/>
  <c r="L201" i="1"/>
  <c r="L237" i="1"/>
  <c r="L219" i="1"/>
  <c r="E16" i="13" s="1"/>
  <c r="C16" i="13" s="1"/>
  <c r="F5" i="13"/>
  <c r="G5" i="13"/>
  <c r="L189" i="1"/>
  <c r="C10" i="10" s="1"/>
  <c r="L190" i="1"/>
  <c r="L191" i="1"/>
  <c r="C12" i="10" s="1"/>
  <c r="L192" i="1"/>
  <c r="L207" i="1"/>
  <c r="L208" i="1"/>
  <c r="L209" i="1"/>
  <c r="L210" i="1"/>
  <c r="L225" i="1"/>
  <c r="L226" i="1"/>
  <c r="C11" i="10" s="1"/>
  <c r="L227" i="1"/>
  <c r="C103" i="2" s="1"/>
  <c r="L228" i="1"/>
  <c r="C13" i="10" s="1"/>
  <c r="F6" i="13"/>
  <c r="D6" i="13" s="1"/>
  <c r="C6" i="13" s="1"/>
  <c r="G6" i="13"/>
  <c r="L194" i="1"/>
  <c r="L212" i="1"/>
  <c r="L230" i="1"/>
  <c r="F7" i="13"/>
  <c r="G7" i="13"/>
  <c r="L195" i="1"/>
  <c r="C111" i="2" s="1"/>
  <c r="L213" i="1"/>
  <c r="L231" i="1"/>
  <c r="F12" i="13"/>
  <c r="G12" i="13"/>
  <c r="L233" i="1"/>
  <c r="L215" i="1"/>
  <c r="F14" i="13"/>
  <c r="G14" i="13"/>
  <c r="L199" i="1"/>
  <c r="C20" i="10" s="1"/>
  <c r="L217" i="1"/>
  <c r="L235" i="1"/>
  <c r="F15" i="13"/>
  <c r="G15" i="13"/>
  <c r="L200" i="1"/>
  <c r="L218" i="1"/>
  <c r="L236" i="1"/>
  <c r="D15" i="13"/>
  <c r="F17" i="13"/>
  <c r="G17" i="13"/>
  <c r="L243" i="1"/>
  <c r="C106" i="2" s="1"/>
  <c r="F18" i="13"/>
  <c r="G18" i="13"/>
  <c r="L244" i="1"/>
  <c r="D18" i="13" s="1"/>
  <c r="C18" i="13" s="1"/>
  <c r="F19" i="13"/>
  <c r="G19" i="13"/>
  <c r="L245" i="1"/>
  <c r="D19" i="13"/>
  <c r="C19" i="13" s="1"/>
  <c r="F29" i="13"/>
  <c r="G29" i="13"/>
  <c r="L350" i="1"/>
  <c r="L354" i="1" s="1"/>
  <c r="L351" i="1"/>
  <c r="L352" i="1"/>
  <c r="I359" i="1"/>
  <c r="J282" i="1"/>
  <c r="J301" i="1"/>
  <c r="J320" i="1"/>
  <c r="J330" i="1" s="1"/>
  <c r="J344" i="1" s="1"/>
  <c r="K282" i="1"/>
  <c r="G31" i="13" s="1"/>
  <c r="K301" i="1"/>
  <c r="K320" i="1"/>
  <c r="L268" i="1"/>
  <c r="L269" i="1"/>
  <c r="E102" i="2" s="1"/>
  <c r="L270" i="1"/>
  <c r="L271" i="1"/>
  <c r="L273" i="1"/>
  <c r="L274" i="1"/>
  <c r="L275" i="1"/>
  <c r="L276" i="1"/>
  <c r="L277" i="1"/>
  <c r="E114" i="2" s="1"/>
  <c r="L278" i="1"/>
  <c r="E115" i="2" s="1"/>
  <c r="L279" i="1"/>
  <c r="F652" i="1" s="1"/>
  <c r="I652" i="1" s="1"/>
  <c r="L280" i="1"/>
  <c r="E117" i="2" s="1"/>
  <c r="L287" i="1"/>
  <c r="E101" i="2" s="1"/>
  <c r="L288" i="1"/>
  <c r="L289" i="1"/>
  <c r="L290" i="1"/>
  <c r="L292" i="1"/>
  <c r="L293" i="1"/>
  <c r="E111" i="2" s="1"/>
  <c r="L294" i="1"/>
  <c r="E112" i="2" s="1"/>
  <c r="L295" i="1"/>
  <c r="E113" i="2"/>
  <c r="L296" i="1"/>
  <c r="L301" i="1" s="1"/>
  <c r="L297" i="1"/>
  <c r="L298" i="1"/>
  <c r="L299" i="1"/>
  <c r="L306" i="1"/>
  <c r="L307" i="1"/>
  <c r="L320" i="1" s="1"/>
  <c r="L308" i="1"/>
  <c r="L309" i="1"/>
  <c r="E104" i="2" s="1"/>
  <c r="L311" i="1"/>
  <c r="C15" i="10" s="1"/>
  <c r="L312" i="1"/>
  <c r="L313" i="1"/>
  <c r="L314" i="1"/>
  <c r="L315" i="1"/>
  <c r="L316" i="1"/>
  <c r="L317" i="1"/>
  <c r="L318" i="1"/>
  <c r="L325" i="1"/>
  <c r="L326" i="1"/>
  <c r="L327" i="1"/>
  <c r="L252" i="1"/>
  <c r="C123" i="2" s="1"/>
  <c r="L253" i="1"/>
  <c r="C25" i="10" s="1"/>
  <c r="L333" i="1"/>
  <c r="E123" i="2" s="1"/>
  <c r="E136" i="2" s="1"/>
  <c r="L334" i="1"/>
  <c r="L247" i="1"/>
  <c r="L328" i="1"/>
  <c r="F22" i="13" s="1"/>
  <c r="C22" i="13" s="1"/>
  <c r="C15" i="13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B13" i="12"/>
  <c r="C9" i="12"/>
  <c r="C13" i="12"/>
  <c r="A13" i="12" s="1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96" i="2" s="1"/>
  <c r="G51" i="2"/>
  <c r="G53" i="2"/>
  <c r="G54" i="2"/>
  <c r="F2" i="11"/>
  <c r="L603" i="1"/>
  <c r="H653" i="1" s="1"/>
  <c r="L602" i="1"/>
  <c r="G653" i="1"/>
  <c r="L601" i="1"/>
  <c r="F653" i="1"/>
  <c r="C40" i="10"/>
  <c r="F52" i="1"/>
  <c r="C48" i="2" s="1"/>
  <c r="G52" i="1"/>
  <c r="D48" i="2" s="1"/>
  <c r="D55" i="2" s="1"/>
  <c r="H52" i="1"/>
  <c r="E48" i="2" s="1"/>
  <c r="E55" i="2" s="1"/>
  <c r="I52" i="1"/>
  <c r="I104" i="1" s="1"/>
  <c r="F71" i="1"/>
  <c r="F86" i="1"/>
  <c r="C50" i="2" s="1"/>
  <c r="C54" i="2" s="1"/>
  <c r="F103" i="1"/>
  <c r="G103" i="1"/>
  <c r="H71" i="1"/>
  <c r="H86" i="1"/>
  <c r="H103" i="1"/>
  <c r="I103" i="1"/>
  <c r="J103" i="1"/>
  <c r="J104" i="1"/>
  <c r="J185" i="1" s="1"/>
  <c r="C37" i="10"/>
  <c r="F113" i="1"/>
  <c r="F132" i="1" s="1"/>
  <c r="C38" i="10" s="1"/>
  <c r="F128" i="1"/>
  <c r="G113" i="1"/>
  <c r="G128" i="1"/>
  <c r="G132" i="1"/>
  <c r="H113" i="1"/>
  <c r="H128" i="1"/>
  <c r="H132" i="1" s="1"/>
  <c r="I113" i="1"/>
  <c r="I128" i="1"/>
  <c r="I132" i="1"/>
  <c r="J113" i="1"/>
  <c r="J132" i="1" s="1"/>
  <c r="J128" i="1"/>
  <c r="F139" i="1"/>
  <c r="F154" i="1"/>
  <c r="F161" i="1"/>
  <c r="G139" i="1"/>
  <c r="G154" i="1"/>
  <c r="G161" i="1" s="1"/>
  <c r="G185" i="1" s="1"/>
  <c r="G618" i="1" s="1"/>
  <c r="J618" i="1" s="1"/>
  <c r="H139" i="1"/>
  <c r="H154" i="1"/>
  <c r="H161" i="1"/>
  <c r="I139" i="1"/>
  <c r="F77" i="2" s="1"/>
  <c r="F83" i="2" s="1"/>
  <c r="I154" i="1"/>
  <c r="L242" i="1"/>
  <c r="C105" i="2"/>
  <c r="L324" i="1"/>
  <c r="E105" i="2" s="1"/>
  <c r="C23" i="10"/>
  <c r="L246" i="1"/>
  <c r="L260" i="1"/>
  <c r="C134" i="2"/>
  <c r="L261" i="1"/>
  <c r="L341" i="1"/>
  <c r="L342" i="1"/>
  <c r="C26" i="10"/>
  <c r="I655" i="1"/>
  <c r="I660" i="1"/>
  <c r="H651" i="1"/>
  <c r="H652" i="1"/>
  <c r="I659" i="1"/>
  <c r="C42" i="10"/>
  <c r="L366" i="1"/>
  <c r="L367" i="1"/>
  <c r="F122" i="2" s="1"/>
  <c r="F136" i="2" s="1"/>
  <c r="F137" i="2" s="1"/>
  <c r="L368" i="1"/>
  <c r="C29" i="10" s="1"/>
  <c r="L369" i="1"/>
  <c r="L370" i="1"/>
  <c r="L371" i="1"/>
  <c r="L372" i="1"/>
  <c r="B2" i="10"/>
  <c r="L336" i="1"/>
  <c r="L337" i="1"/>
  <c r="L338" i="1"/>
  <c r="L339" i="1"/>
  <c r="K343" i="1"/>
  <c r="L511" i="1"/>
  <c r="L514" i="1" s="1"/>
  <c r="F539" i="1"/>
  <c r="L512" i="1"/>
  <c r="F540" i="1"/>
  <c r="L513" i="1"/>
  <c r="F541" i="1"/>
  <c r="L516" i="1"/>
  <c r="G539" i="1" s="1"/>
  <c r="L517" i="1"/>
  <c r="G540" i="1" s="1"/>
  <c r="L518" i="1"/>
  <c r="G541" i="1"/>
  <c r="L521" i="1"/>
  <c r="H539" i="1"/>
  <c r="H542" i="1" s="1"/>
  <c r="L522" i="1"/>
  <c r="L524" i="1" s="1"/>
  <c r="H540" i="1"/>
  <c r="L523" i="1"/>
  <c r="H541" i="1"/>
  <c r="L526" i="1"/>
  <c r="I539" i="1"/>
  <c r="L527" i="1"/>
  <c r="I540" i="1"/>
  <c r="L528" i="1"/>
  <c r="I541" i="1"/>
  <c r="L531" i="1"/>
  <c r="J539" i="1"/>
  <c r="L532" i="1"/>
  <c r="J540" i="1" s="1"/>
  <c r="L533" i="1"/>
  <c r="J541" i="1" s="1"/>
  <c r="E124" i="2"/>
  <c r="K262" i="1"/>
  <c r="J262" i="1"/>
  <c r="I262" i="1"/>
  <c r="H262" i="1"/>
  <c r="G262" i="1"/>
  <c r="G263" i="1" s="1"/>
  <c r="F262" i="1"/>
  <c r="L262" i="1" s="1"/>
  <c r="A1" i="2"/>
  <c r="A2" i="2"/>
  <c r="C9" i="2"/>
  <c r="D9" i="2"/>
  <c r="E9" i="2"/>
  <c r="F9" i="2"/>
  <c r="F19" i="2" s="1"/>
  <c r="I431" i="1"/>
  <c r="I438" i="1" s="1"/>
  <c r="G632" i="1" s="1"/>
  <c r="J9" i="1"/>
  <c r="G9" i="2"/>
  <c r="C10" i="2"/>
  <c r="D10" i="2"/>
  <c r="E10" i="2"/>
  <c r="F10" i="2"/>
  <c r="I432" i="1"/>
  <c r="C11" i="2"/>
  <c r="C12" i="2"/>
  <c r="C19" i="2" s="1"/>
  <c r="C13" i="2"/>
  <c r="C14" i="2"/>
  <c r="C16" i="2"/>
  <c r="C17" i="2"/>
  <c r="C18" i="2"/>
  <c r="D12" i="2"/>
  <c r="E12" i="2"/>
  <c r="F12" i="2"/>
  <c r="I433" i="1"/>
  <c r="J12" i="1" s="1"/>
  <c r="G12" i="2" s="1"/>
  <c r="D13" i="2"/>
  <c r="E13" i="2"/>
  <c r="F13" i="2"/>
  <c r="I434" i="1"/>
  <c r="J13" i="1"/>
  <c r="G13" i="2" s="1"/>
  <c r="D14" i="2"/>
  <c r="E14" i="2"/>
  <c r="F14" i="2"/>
  <c r="I435" i="1"/>
  <c r="J14" i="1" s="1"/>
  <c r="G14" i="2" s="1"/>
  <c r="F15" i="2"/>
  <c r="D16" i="2"/>
  <c r="E16" i="2"/>
  <c r="F16" i="2"/>
  <c r="D17" i="2"/>
  <c r="D19" i="2" s="1"/>
  <c r="E17" i="2"/>
  <c r="F17" i="2"/>
  <c r="I436" i="1"/>
  <c r="J17" i="1" s="1"/>
  <c r="G17" i="2" s="1"/>
  <c r="D18" i="2"/>
  <c r="E18" i="2"/>
  <c r="F18" i="2"/>
  <c r="I437" i="1"/>
  <c r="J18" i="1"/>
  <c r="G18" i="2"/>
  <c r="E19" i="2"/>
  <c r="C22" i="2"/>
  <c r="D22" i="2"/>
  <c r="E22" i="2"/>
  <c r="F22" i="2"/>
  <c r="I440" i="1"/>
  <c r="J23" i="1"/>
  <c r="C23" i="2"/>
  <c r="D23" i="2"/>
  <c r="E23" i="2"/>
  <c r="E32" i="2" s="1"/>
  <c r="F23" i="2"/>
  <c r="I441" i="1"/>
  <c r="J24" i="1" s="1"/>
  <c r="C24" i="2"/>
  <c r="C32" i="2" s="1"/>
  <c r="D24" i="2"/>
  <c r="E24" i="2"/>
  <c r="F24" i="2"/>
  <c r="I442" i="1"/>
  <c r="J25" i="1"/>
  <c r="G24" i="2"/>
  <c r="C25" i="2"/>
  <c r="D25" i="2"/>
  <c r="E25" i="2"/>
  <c r="F25" i="2"/>
  <c r="C26" i="2"/>
  <c r="F26" i="2"/>
  <c r="F32" i="2" s="1"/>
  <c r="F43" i="2" s="1"/>
  <c r="C27" i="2"/>
  <c r="F27" i="2"/>
  <c r="C28" i="2"/>
  <c r="D28" i="2"/>
  <c r="E28" i="2"/>
  <c r="F28" i="2"/>
  <c r="C29" i="2"/>
  <c r="D29" i="2"/>
  <c r="E29" i="2"/>
  <c r="F29" i="2"/>
  <c r="C30" i="2"/>
  <c r="D30" i="2"/>
  <c r="D32" i="2" s="1"/>
  <c r="E30" i="2"/>
  <c r="F30" i="2"/>
  <c r="C31" i="2"/>
  <c r="D31" i="2"/>
  <c r="E31" i="2"/>
  <c r="F31" i="2"/>
  <c r="I443" i="1"/>
  <c r="J32" i="1" s="1"/>
  <c r="G31" i="2" s="1"/>
  <c r="C34" i="2"/>
  <c r="C42" i="2" s="1"/>
  <c r="D34" i="2"/>
  <c r="E34" i="2"/>
  <c r="E35" i="2"/>
  <c r="E36" i="2"/>
  <c r="E37" i="2"/>
  <c r="E38" i="2"/>
  <c r="E40" i="2"/>
  <c r="E41" i="2"/>
  <c r="E42" i="2"/>
  <c r="F34" i="2"/>
  <c r="C35" i="2"/>
  <c r="D35" i="2"/>
  <c r="D42" i="2" s="1"/>
  <c r="F35" i="2"/>
  <c r="C36" i="2"/>
  <c r="D36" i="2"/>
  <c r="F36" i="2"/>
  <c r="I446" i="1"/>
  <c r="C37" i="2"/>
  <c r="D37" i="2"/>
  <c r="F37" i="2"/>
  <c r="I447" i="1"/>
  <c r="I450" i="1" s="1"/>
  <c r="J38" i="1"/>
  <c r="J43" i="1" s="1"/>
  <c r="G37" i="2"/>
  <c r="C38" i="2"/>
  <c r="D38" i="2"/>
  <c r="F38" i="2"/>
  <c r="I448" i="1"/>
  <c r="J40" i="1"/>
  <c r="G39" i="2"/>
  <c r="C40" i="2"/>
  <c r="D40" i="2"/>
  <c r="F40" i="2"/>
  <c r="I449" i="1"/>
  <c r="J41" i="1"/>
  <c r="G40" i="2"/>
  <c r="C41" i="2"/>
  <c r="D41" i="2"/>
  <c r="F41" i="2"/>
  <c r="C49" i="2"/>
  <c r="E50" i="2"/>
  <c r="C51" i="2"/>
  <c r="D51" i="2"/>
  <c r="D54" i="2" s="1"/>
  <c r="E51" i="2"/>
  <c r="E54" i="2" s="1"/>
  <c r="F51" i="2"/>
  <c r="F54" i="2" s="1"/>
  <c r="D52" i="2"/>
  <c r="D53" i="2"/>
  <c r="C53" i="2"/>
  <c r="E53" i="2"/>
  <c r="F53" i="2"/>
  <c r="C58" i="2"/>
  <c r="C62" i="2" s="1"/>
  <c r="C59" i="2"/>
  <c r="C61" i="2"/>
  <c r="D61" i="2"/>
  <c r="D62" i="2"/>
  <c r="E61" i="2"/>
  <c r="F61" i="2"/>
  <c r="F62" i="2" s="1"/>
  <c r="G61" i="2"/>
  <c r="E62" i="2"/>
  <c r="G62" i="2"/>
  <c r="C64" i="2"/>
  <c r="F64" i="2"/>
  <c r="F70" i="2" s="1"/>
  <c r="F73" i="2" s="1"/>
  <c r="C65" i="2"/>
  <c r="C70" i="2" s="1"/>
  <c r="C73" i="2" s="1"/>
  <c r="F65" i="2"/>
  <c r="C66" i="2"/>
  <c r="C67" i="2"/>
  <c r="C68" i="2"/>
  <c r="E68" i="2"/>
  <c r="F68" i="2"/>
  <c r="C69" i="2"/>
  <c r="D69" i="2"/>
  <c r="E69" i="2"/>
  <c r="F69" i="2"/>
  <c r="G69" i="2"/>
  <c r="G70" i="2"/>
  <c r="G73" i="2"/>
  <c r="D70" i="2"/>
  <c r="D73" i="2" s="1"/>
  <c r="C71" i="2"/>
  <c r="D71" i="2"/>
  <c r="E71" i="2"/>
  <c r="C72" i="2"/>
  <c r="E72" i="2"/>
  <c r="C77" i="2"/>
  <c r="C83" i="2" s="1"/>
  <c r="D77" i="2"/>
  <c r="E77" i="2"/>
  <c r="E83" i="2" s="1"/>
  <c r="E79" i="2"/>
  <c r="E80" i="2"/>
  <c r="E81" i="2"/>
  <c r="C79" i="2"/>
  <c r="F79" i="2"/>
  <c r="C80" i="2"/>
  <c r="D80" i="2"/>
  <c r="F80" i="2"/>
  <c r="C81" i="2"/>
  <c r="D81" i="2"/>
  <c r="D83" i="2" s="1"/>
  <c r="F81" i="2"/>
  <c r="C82" i="2"/>
  <c r="C85" i="2"/>
  <c r="F85" i="2"/>
  <c r="C86" i="2"/>
  <c r="F86" i="2"/>
  <c r="D88" i="2"/>
  <c r="D89" i="2"/>
  <c r="D90" i="2"/>
  <c r="D95" i="2" s="1"/>
  <c r="D91" i="2"/>
  <c r="D92" i="2"/>
  <c r="D93" i="2"/>
  <c r="D94" i="2"/>
  <c r="E88" i="2"/>
  <c r="F88" i="2"/>
  <c r="G88" i="2"/>
  <c r="C89" i="2"/>
  <c r="E89" i="2"/>
  <c r="E95" i="2" s="1"/>
  <c r="E90" i="2"/>
  <c r="E91" i="2"/>
  <c r="E92" i="2"/>
  <c r="E93" i="2"/>
  <c r="E94" i="2"/>
  <c r="F89" i="2"/>
  <c r="G89" i="2"/>
  <c r="C90" i="2"/>
  <c r="G90" i="2"/>
  <c r="C91" i="2"/>
  <c r="F91" i="2"/>
  <c r="C92" i="2"/>
  <c r="F92" i="2"/>
  <c r="F95" i="2" s="1"/>
  <c r="C93" i="2"/>
  <c r="C95" i="2" s="1"/>
  <c r="F93" i="2"/>
  <c r="C94" i="2"/>
  <c r="F94" i="2"/>
  <c r="E103" i="2"/>
  <c r="E106" i="2"/>
  <c r="D107" i="2"/>
  <c r="F107" i="2"/>
  <c r="G107" i="2"/>
  <c r="C110" i="2"/>
  <c r="C116" i="2"/>
  <c r="C117" i="2"/>
  <c r="D119" i="2"/>
  <c r="D120" i="2"/>
  <c r="F120" i="2"/>
  <c r="G120" i="2"/>
  <c r="C122" i="2"/>
  <c r="E122" i="2"/>
  <c r="F126" i="2"/>
  <c r="D126" i="2"/>
  <c r="D136" i="2" s="1"/>
  <c r="E126" i="2"/>
  <c r="K411" i="1"/>
  <c r="K426" i="1" s="1"/>
  <c r="G126" i="2" s="1"/>
  <c r="G136" i="2" s="1"/>
  <c r="G137" i="2" s="1"/>
  <c r="K419" i="1"/>
  <c r="K425" i="1"/>
  <c r="L255" i="1"/>
  <c r="C127" i="2" s="1"/>
  <c r="E127" i="2"/>
  <c r="L256" i="1"/>
  <c r="C128" i="2" s="1"/>
  <c r="L257" i="1"/>
  <c r="C129" i="2" s="1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G149" i="2" s="1"/>
  <c r="D149" i="2"/>
  <c r="E149" i="2"/>
  <c r="F149" i="2"/>
  <c r="B150" i="2"/>
  <c r="C150" i="2"/>
  <c r="D150" i="2"/>
  <c r="E150" i="2"/>
  <c r="F150" i="2"/>
  <c r="B151" i="2"/>
  <c r="C151" i="2"/>
  <c r="D151" i="2"/>
  <c r="E151" i="2"/>
  <c r="G151" i="2" s="1"/>
  <c r="F151" i="2"/>
  <c r="B152" i="2"/>
  <c r="G152" i="2" s="1"/>
  <c r="C152" i="2"/>
  <c r="D152" i="2"/>
  <c r="E152" i="2"/>
  <c r="F152" i="2"/>
  <c r="F490" i="1"/>
  <c r="B153" i="2"/>
  <c r="F153" i="2"/>
  <c r="G490" i="1"/>
  <c r="C153" i="2" s="1"/>
  <c r="G153" i="2" s="1"/>
  <c r="H490" i="1"/>
  <c r="D153" i="2" s="1"/>
  <c r="I490" i="1"/>
  <c r="E153" i="2" s="1"/>
  <c r="J490" i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G493" i="1"/>
  <c r="C156" i="2" s="1"/>
  <c r="H493" i="1"/>
  <c r="D156" i="2" s="1"/>
  <c r="I493" i="1"/>
  <c r="E156" i="2"/>
  <c r="J493" i="1"/>
  <c r="K493" i="1" s="1"/>
  <c r="F156" i="2"/>
  <c r="F19" i="1"/>
  <c r="G607" i="1"/>
  <c r="G19" i="1"/>
  <c r="H19" i="1"/>
  <c r="G609" i="1"/>
  <c r="I19" i="1"/>
  <c r="F33" i="1"/>
  <c r="G33" i="1"/>
  <c r="H33" i="1"/>
  <c r="H44" i="1" s="1"/>
  <c r="H609" i="1" s="1"/>
  <c r="J609" i="1" s="1"/>
  <c r="I33" i="1"/>
  <c r="I44" i="1"/>
  <c r="H610" i="1"/>
  <c r="J610" i="1" s="1"/>
  <c r="F43" i="1"/>
  <c r="F44" i="1" s="1"/>
  <c r="H607" i="1" s="1"/>
  <c r="G43" i="1"/>
  <c r="H43" i="1"/>
  <c r="I43" i="1"/>
  <c r="G44" i="1"/>
  <c r="H608" i="1"/>
  <c r="J608" i="1" s="1"/>
  <c r="F169" i="1"/>
  <c r="F184" i="1" s="1"/>
  <c r="I169" i="1"/>
  <c r="I184" i="1" s="1"/>
  <c r="F175" i="1"/>
  <c r="G175" i="1"/>
  <c r="H175" i="1"/>
  <c r="I175" i="1"/>
  <c r="J175" i="1"/>
  <c r="F180" i="1"/>
  <c r="G180" i="1"/>
  <c r="G184" i="1"/>
  <c r="H180" i="1"/>
  <c r="H184" i="1" s="1"/>
  <c r="I180" i="1"/>
  <c r="F203" i="1"/>
  <c r="G203" i="1"/>
  <c r="J203" i="1"/>
  <c r="J249" i="1" s="1"/>
  <c r="K203" i="1"/>
  <c r="F221" i="1"/>
  <c r="G221" i="1"/>
  <c r="H221" i="1"/>
  <c r="I221" i="1"/>
  <c r="J221" i="1"/>
  <c r="K221" i="1"/>
  <c r="K249" i="1" s="1"/>
  <c r="K263" i="1" s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F249" i="1"/>
  <c r="F263" i="1" s="1"/>
  <c r="F282" i="1"/>
  <c r="G282" i="1"/>
  <c r="H282" i="1"/>
  <c r="H330" i="1" s="1"/>
  <c r="H344" i="1" s="1"/>
  <c r="I282" i="1"/>
  <c r="I330" i="1" s="1"/>
  <c r="I344" i="1" s="1"/>
  <c r="F301" i="1"/>
  <c r="F330" i="1" s="1"/>
  <c r="F344" i="1" s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I329" i="1"/>
  <c r="J329" i="1"/>
  <c r="K329" i="1"/>
  <c r="F354" i="1"/>
  <c r="G354" i="1"/>
  <c r="H354" i="1"/>
  <c r="I354" i="1"/>
  <c r="G624" i="1" s="1"/>
  <c r="J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06" i="1"/>
  <c r="L407" i="1"/>
  <c r="L411" i="1" s="1"/>
  <c r="L408" i="1"/>
  <c r="L409" i="1"/>
  <c r="L410" i="1"/>
  <c r="F411" i="1"/>
  <c r="G411" i="1"/>
  <c r="H411" i="1"/>
  <c r="I411" i="1"/>
  <c r="J411" i="1"/>
  <c r="J426" i="1"/>
  <c r="L413" i="1"/>
  <c r="L414" i="1"/>
  <c r="L415" i="1"/>
  <c r="L416" i="1"/>
  <c r="L419" i="1" s="1"/>
  <c r="L417" i="1"/>
  <c r="L418" i="1"/>
  <c r="F419" i="1"/>
  <c r="G419" i="1"/>
  <c r="H419" i="1"/>
  <c r="H426" i="1" s="1"/>
  <c r="I419" i="1"/>
  <c r="J419" i="1"/>
  <c r="L421" i="1"/>
  <c r="L422" i="1"/>
  <c r="L423" i="1"/>
  <c r="L424" i="1"/>
  <c r="F425" i="1"/>
  <c r="F426" i="1" s="1"/>
  <c r="G425" i="1"/>
  <c r="G426" i="1" s="1"/>
  <c r="H425" i="1"/>
  <c r="I425" i="1"/>
  <c r="J425" i="1"/>
  <c r="I426" i="1"/>
  <c r="F438" i="1"/>
  <c r="G629" i="1"/>
  <c r="G438" i="1"/>
  <c r="G630" i="1" s="1"/>
  <c r="H438" i="1"/>
  <c r="G631" i="1"/>
  <c r="F444" i="1"/>
  <c r="F451" i="1" s="1"/>
  <c r="H629" i="1" s="1"/>
  <c r="J629" i="1" s="1"/>
  <c r="G444" i="1"/>
  <c r="H444" i="1"/>
  <c r="H451" i="1" s="1"/>
  <c r="H631" i="1" s="1"/>
  <c r="F450" i="1"/>
  <c r="G450" i="1"/>
  <c r="H450" i="1"/>
  <c r="G451" i="1"/>
  <c r="H630" i="1" s="1"/>
  <c r="F460" i="1"/>
  <c r="G460" i="1"/>
  <c r="G466" i="1" s="1"/>
  <c r="H613" i="1" s="1"/>
  <c r="J613" i="1" s="1"/>
  <c r="H460" i="1"/>
  <c r="I460" i="1"/>
  <c r="J460" i="1"/>
  <c r="J466" i="1" s="1"/>
  <c r="H616" i="1" s="1"/>
  <c r="G464" i="1"/>
  <c r="H464" i="1"/>
  <c r="I464" i="1"/>
  <c r="I466" i="1"/>
  <c r="J464" i="1"/>
  <c r="H466" i="1"/>
  <c r="H614" i="1" s="1"/>
  <c r="J614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J514" i="1"/>
  <c r="K514" i="1"/>
  <c r="K535" i="1" s="1"/>
  <c r="F519" i="1"/>
  <c r="G519" i="1"/>
  <c r="G535" i="1" s="1"/>
  <c r="H519" i="1"/>
  <c r="H535" i="1" s="1"/>
  <c r="I519" i="1"/>
  <c r="I535" i="1" s="1"/>
  <c r="J519" i="1"/>
  <c r="K519" i="1"/>
  <c r="L519" i="1"/>
  <c r="F524" i="1"/>
  <c r="G524" i="1"/>
  <c r="H524" i="1"/>
  <c r="I524" i="1"/>
  <c r="J524" i="1"/>
  <c r="K524" i="1"/>
  <c r="F529" i="1"/>
  <c r="F535" i="1" s="1"/>
  <c r="G529" i="1"/>
  <c r="H529" i="1"/>
  <c r="I529" i="1"/>
  <c r="J529" i="1"/>
  <c r="K529" i="1"/>
  <c r="L529" i="1"/>
  <c r="F534" i="1"/>
  <c r="G534" i="1"/>
  <c r="H534" i="1"/>
  <c r="I534" i="1"/>
  <c r="J534" i="1"/>
  <c r="J535" i="1" s="1"/>
  <c r="K534" i="1"/>
  <c r="L534" i="1"/>
  <c r="L547" i="1"/>
  <c r="L548" i="1"/>
  <c r="L549" i="1"/>
  <c r="F550" i="1"/>
  <c r="G550" i="1"/>
  <c r="G561" i="1" s="1"/>
  <c r="H550" i="1"/>
  <c r="H561" i="1" s="1"/>
  <c r="I550" i="1"/>
  <c r="I561" i="1" s="1"/>
  <c r="J550" i="1"/>
  <c r="J561" i="1" s="1"/>
  <c r="K550" i="1"/>
  <c r="K561" i="1" s="1"/>
  <c r="L552" i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F561" i="1" s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G610" i="1"/>
  <c r="G613" i="1"/>
  <c r="G614" i="1"/>
  <c r="G615" i="1"/>
  <c r="J615" i="1" s="1"/>
  <c r="H615" i="1"/>
  <c r="H617" i="1"/>
  <c r="H618" i="1"/>
  <c r="H619" i="1"/>
  <c r="H620" i="1"/>
  <c r="H621" i="1"/>
  <c r="H623" i="1"/>
  <c r="H625" i="1"/>
  <c r="H626" i="1"/>
  <c r="H627" i="1"/>
  <c r="H628" i="1"/>
  <c r="G633" i="1"/>
  <c r="G634" i="1"/>
  <c r="H637" i="1"/>
  <c r="G639" i="1"/>
  <c r="H639" i="1"/>
  <c r="J639" i="1"/>
  <c r="G640" i="1"/>
  <c r="H640" i="1"/>
  <c r="J640" i="1"/>
  <c r="G641" i="1"/>
  <c r="J641" i="1" s="1"/>
  <c r="H641" i="1"/>
  <c r="G642" i="1"/>
  <c r="H642" i="1"/>
  <c r="J642" i="1"/>
  <c r="G643" i="1"/>
  <c r="H643" i="1"/>
  <c r="J643" i="1"/>
  <c r="G644" i="1"/>
  <c r="H644" i="1"/>
  <c r="J644" i="1"/>
  <c r="G645" i="1"/>
  <c r="J645" i="1" s="1"/>
  <c r="H645" i="1"/>
  <c r="J184" i="1"/>
  <c r="G635" i="1"/>
  <c r="G22" i="2"/>
  <c r="J10" i="1"/>
  <c r="G10" i="2" s="1"/>
  <c r="G104" i="1"/>
  <c r="L555" i="1"/>
  <c r="L561" i="1" s="1"/>
  <c r="L425" i="1"/>
  <c r="L550" i="1"/>
  <c r="L329" i="1"/>
  <c r="G249" i="1"/>
  <c r="G150" i="2"/>
  <c r="G148" i="2"/>
  <c r="F42" i="2"/>
  <c r="E116" i="2"/>
  <c r="E110" i="2"/>
  <c r="J37" i="1"/>
  <c r="G36" i="2" s="1"/>
  <c r="G42" i="2" s="1"/>
  <c r="E49" i="2"/>
  <c r="G652" i="1"/>
  <c r="G95" i="2"/>
  <c r="E70" i="2"/>
  <c r="E73" i="2" s="1"/>
  <c r="I542" i="1"/>
  <c r="L535" i="1" l="1"/>
  <c r="L221" i="1"/>
  <c r="G650" i="1" s="1"/>
  <c r="J542" i="1"/>
  <c r="C136" i="2"/>
  <c r="G542" i="1"/>
  <c r="D96" i="2"/>
  <c r="L426" i="1"/>
  <c r="G628" i="1" s="1"/>
  <c r="J628" i="1" s="1"/>
  <c r="G156" i="2"/>
  <c r="D137" i="2"/>
  <c r="D43" i="2"/>
  <c r="C43" i="2"/>
  <c r="G19" i="2"/>
  <c r="K541" i="1"/>
  <c r="C55" i="2"/>
  <c r="C96" i="2" s="1"/>
  <c r="G625" i="1"/>
  <c r="J625" i="1" s="1"/>
  <c r="C27" i="10"/>
  <c r="C39" i="10"/>
  <c r="D12" i="13"/>
  <c r="C12" i="13" s="1"/>
  <c r="C113" i="2"/>
  <c r="C18" i="10"/>
  <c r="G23" i="2"/>
  <c r="J33" i="1"/>
  <c r="J44" i="1" s="1"/>
  <c r="H611" i="1" s="1"/>
  <c r="E120" i="2"/>
  <c r="H638" i="1"/>
  <c r="J638" i="1" s="1"/>
  <c r="J263" i="1"/>
  <c r="E96" i="2"/>
  <c r="G636" i="1"/>
  <c r="G621" i="1"/>
  <c r="J621" i="1" s="1"/>
  <c r="J631" i="1"/>
  <c r="J19" i="1"/>
  <c r="G611" i="1" s="1"/>
  <c r="G616" i="1"/>
  <c r="J616" i="1" s="1"/>
  <c r="K540" i="1"/>
  <c r="I653" i="1"/>
  <c r="E107" i="2"/>
  <c r="G33" i="13"/>
  <c r="G32" i="2"/>
  <c r="G43" i="2" s="1"/>
  <c r="J630" i="1"/>
  <c r="E43" i="2"/>
  <c r="F33" i="13"/>
  <c r="K539" i="1"/>
  <c r="L400" i="1"/>
  <c r="C130" i="2"/>
  <c r="C133" i="2" s="1"/>
  <c r="L239" i="1"/>
  <c r="H650" i="1" s="1"/>
  <c r="H654" i="1" s="1"/>
  <c r="L374" i="1"/>
  <c r="G626" i="1" s="1"/>
  <c r="J626" i="1" s="1"/>
  <c r="C124" i="2"/>
  <c r="C24" i="10"/>
  <c r="I161" i="1"/>
  <c r="I185" i="1" s="1"/>
  <c r="G620" i="1" s="1"/>
  <c r="J620" i="1" s="1"/>
  <c r="H25" i="13"/>
  <c r="D14" i="13"/>
  <c r="C14" i="13" s="1"/>
  <c r="F104" i="1"/>
  <c r="F185" i="1" s="1"/>
  <c r="G617" i="1" s="1"/>
  <c r="J617" i="1" s="1"/>
  <c r="F31" i="13"/>
  <c r="F651" i="1"/>
  <c r="L282" i="1"/>
  <c r="D17" i="13"/>
  <c r="C17" i="13" s="1"/>
  <c r="D7" i="13"/>
  <c r="C7" i="13" s="1"/>
  <c r="E13" i="13"/>
  <c r="C13" i="13" s="1"/>
  <c r="C21" i="10"/>
  <c r="K490" i="1"/>
  <c r="H104" i="1"/>
  <c r="H185" i="1" s="1"/>
  <c r="G619" i="1" s="1"/>
  <c r="J619" i="1" s="1"/>
  <c r="C32" i="10"/>
  <c r="G651" i="1"/>
  <c r="F48" i="2"/>
  <c r="F55" i="2" s="1"/>
  <c r="F96" i="2" s="1"/>
  <c r="C115" i="2"/>
  <c r="L343" i="1"/>
  <c r="D5" i="13"/>
  <c r="C35" i="10"/>
  <c r="F542" i="1"/>
  <c r="C114" i="2"/>
  <c r="C104" i="2"/>
  <c r="J607" i="1"/>
  <c r="D29" i="13"/>
  <c r="C29" i="13" s="1"/>
  <c r="I444" i="1"/>
  <c r="I451" i="1" s="1"/>
  <c r="H632" i="1" s="1"/>
  <c r="J632" i="1" s="1"/>
  <c r="C16" i="10"/>
  <c r="C101" i="2"/>
  <c r="C107" i="2" s="1"/>
  <c r="G612" i="1"/>
  <c r="L196" i="1"/>
  <c r="L203" i="1"/>
  <c r="K330" i="1"/>
  <c r="K344" i="1" s="1"/>
  <c r="I203" i="1"/>
  <c r="I249" i="1" s="1"/>
  <c r="I263" i="1" s="1"/>
  <c r="C102" i="2"/>
  <c r="H33" i="13" l="1"/>
  <c r="C25" i="13"/>
  <c r="C36" i="10"/>
  <c r="C41" i="10"/>
  <c r="D39" i="10" s="1"/>
  <c r="H662" i="1"/>
  <c r="C6" i="10" s="1"/>
  <c r="H657" i="1"/>
  <c r="J611" i="1"/>
  <c r="F650" i="1"/>
  <c r="L249" i="1"/>
  <c r="L263" i="1" s="1"/>
  <c r="C5" i="13"/>
  <c r="L330" i="1"/>
  <c r="L344" i="1" s="1"/>
  <c r="G623" i="1" s="1"/>
  <c r="J623" i="1" s="1"/>
  <c r="D31" i="13"/>
  <c r="C31" i="13" s="1"/>
  <c r="J636" i="1"/>
  <c r="G654" i="1"/>
  <c r="C112" i="2"/>
  <c r="C120" i="2" s="1"/>
  <c r="C137" i="2" s="1"/>
  <c r="C17" i="10"/>
  <c r="E8" i="13"/>
  <c r="I651" i="1"/>
  <c r="G627" i="1"/>
  <c r="J627" i="1" s="1"/>
  <c r="H636" i="1"/>
  <c r="E137" i="2"/>
  <c r="K542" i="1"/>
  <c r="G662" i="1" l="1"/>
  <c r="C5" i="10" s="1"/>
  <c r="G657" i="1"/>
  <c r="D33" i="13"/>
  <c r="D36" i="13" s="1"/>
  <c r="D36" i="10"/>
  <c r="D40" i="10"/>
  <c r="D37" i="10"/>
  <c r="D38" i="10"/>
  <c r="D35" i="10"/>
  <c r="D41" i="10" s="1"/>
  <c r="F462" i="1"/>
  <c r="G622" i="1"/>
  <c r="I650" i="1"/>
  <c r="I654" i="1" s="1"/>
  <c r="F654" i="1"/>
  <c r="C8" i="13"/>
  <c r="E33" i="13"/>
  <c r="D35" i="13" s="1"/>
  <c r="C28" i="10"/>
  <c r="I662" i="1" l="1"/>
  <c r="C7" i="10" s="1"/>
  <c r="I657" i="1"/>
  <c r="D22" i="10"/>
  <c r="C30" i="10"/>
  <c r="D13" i="10"/>
  <c r="D23" i="10"/>
  <c r="D26" i="10"/>
  <c r="D10" i="10"/>
  <c r="D15" i="10"/>
  <c r="D20" i="10"/>
  <c r="D19" i="10"/>
  <c r="D11" i="10"/>
  <c r="D25" i="10"/>
  <c r="D12" i="10"/>
  <c r="D18" i="10"/>
  <c r="D24" i="10"/>
  <c r="D16" i="10"/>
  <c r="D27" i="10"/>
  <c r="D21" i="10"/>
  <c r="D17" i="10"/>
  <c r="F657" i="1"/>
  <c r="F662" i="1"/>
  <c r="C4" i="10" s="1"/>
  <c r="F464" i="1"/>
  <c r="F466" i="1" s="1"/>
  <c r="H612" i="1" s="1"/>
  <c r="J612" i="1" s="1"/>
  <c r="H622" i="1"/>
  <c r="J622" i="1" s="1"/>
  <c r="D28" i="10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4A5AD9A-2123-457B-93A5-FDD819230D63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319290D-C7BA-4676-872F-1851C125EC2E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C024988-4D84-4F02-AE79-C86EF075263E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A0663D8-3A7D-4D38-8F5C-A020242C5736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E2935EC0-F58C-4BA0-ADAD-05E85E03057A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298F8E2-05B0-4B40-85EB-CC7785E7D99E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332C4DEC-F889-4CC3-99B0-ED53AD08862D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1A1C65AC-D160-4E6D-AD88-9D2CF5F03240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7412F7F5-AD95-45DB-8ACF-E01E8253926E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6122204D-FE11-4D20-884F-16DC45100B22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A10BF036-4C14-4FB7-8914-04689BC5F051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D67A414-A9DD-43DA-86A2-B3AB7CFF2975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<sst xmlns="http://schemas.openxmlformats.org/spreadsheetml/2006/main" count="3858" uniqueCount="895">
  <si>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</si>
  <si>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</si>
  <si>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</si>
  <si>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</si>
  <si>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</si>
  <si>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</si>
  <si>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</si>
  <si>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</si>
  <si>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</si>
  <si>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</si>
  <si>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</si>
  <si>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</si>
  <si>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</si>
  <si>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</si>
  <si>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</si>
  <si>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</si>
  <si>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</si>
  <si>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</si>
  <si>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</si>
  <si>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</si>
  <si>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</si>
  <si>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</si>
  <si>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</si>
  <si>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</si>
  <si>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</si>
  <si>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</si>
  <si>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</si>
  <si>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</si>
  <si>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</si>
  <si>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</si>
  <si>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</si>
  <si>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</si>
  <si>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</si>
  <si>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</si>
  <si>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</si>
  <si>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</si>
  <si>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</si>
  <si>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</si>
  <si>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</si>
  <si>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</si>
  <si>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</si>
  <si>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</si>
  <si>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</si>
  <si>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</si>
  <si>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</si>
  <si>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</si>
  <si>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</si>
  <si>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</si>
  <si>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</si>
  <si>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</si>
  <si>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</si>
  <si>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</si>
  <si>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</si>
  <si>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</si>
  <si>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</si>
  <si>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</si>
  <si>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</si>
  <si>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</si>
  <si>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</si>
  <si>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</si>
  <si>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</si>
  <si>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</si>
  <si>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</si>
  <si>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</si>
  <si>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</si>
  <si>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</si>
  <si>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</si>
  <si>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</si>
  <si>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</si>
  <si>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</si>
  <si>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</si>
  <si>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</si>
  <si>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</si>
  <si>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</si>
  <si>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</si>
  <si>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</si>
  <si>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</si>
  <si>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</si>
  <si>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</si>
  <si>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</si>
  <si>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</si>
  <si>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</si>
  <si>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</si>
  <si>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</si>
  <si>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</si>
  <si>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</si>
  <si>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</si>
  <si>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</si>
  <si>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</si>
  <si>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</si>
  <si>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</si>
  <si>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</si>
  <si>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</si>
  <si>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</si>
  <si>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</si>
  <si>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</si>
  <si>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</si>
  <si>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</si>
  <si>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</si>
  <si>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</si>
  <si>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</si>
  <si>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</si>
  <si>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</si>
  <si>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</si>
  <si>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</si>
  <si>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</si>
  <si>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</si>
  <si>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</si>
  <si>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</si>
  <si>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</si>
  <si>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</si>
  <si>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</si>
  <si>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</si>
  <si>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</si>
  <si>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</si>
  <si>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</si>
  <si>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</si>
  <si>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</si>
  <si>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</si>
  <si>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</si>
  <si>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</si>
  <si>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</si>
  <si>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</si>
  <si>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</si>
  <si>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</si>
  <si>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</si>
  <si>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</si>
  <si>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</si>
  <si>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</si>
  <si>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</si>
  <si>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</si>
  <si>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</si>
  <si>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</si>
  <si>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</si>
  <si>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</si>
  <si>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</si>
  <si>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</si>
  <si>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</si>
  <si>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</si>
  <si>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</si>
  <si>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</si>
  <si>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</si>
  <si>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</si>
  <si>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</si>
  <si>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</si>
  <si>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</si>
  <si>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</si>
  <si>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</si>
  <si>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</si>
  <si>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</si>
  <si>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</si>
  <si>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</si>
  <si>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</si>
  <si>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</si>
  <si>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</si>
  <si>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</si>
  <si>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</si>
  <si>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</si>
  <si>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</si>
  <si>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</si>
  <si>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</si>
  <si>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</si>
  <si>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</si>
  <si>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</si>
  <si>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</si>
  <si>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</si>
  <si>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</si>
  <si>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</si>
  <si>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</si>
  <si>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</si>
  <si>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</si>
  <si>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</si>
  <si>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</si>
  <si>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</si>
  <si>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</si>
  <si>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</si>
  <si>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</si>
  <si>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</si>
  <si>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</si>
  <si>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</si>
  <si>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</si>
  <si>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</si>
  <si>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</si>
  <si>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</si>
  <si>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</si>
  <si>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</si>
  <si>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</si>
  <si>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</si>
  <si>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</si>
  <si>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</si>
  <si>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</si>
  <si>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</si>
  <si>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</si>
  <si>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</si>
  <si>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</si>
  <si>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</si>
  <si>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</si>
  <si>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</si>
  <si>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</si>
  <si>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</si>
  <si>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</si>
  <si>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</si>
  <si>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</si>
  <si>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</si>
  <si>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</si>
  <si>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</si>
  <si>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</si>
  <si>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</si>
  <si>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</si>
  <si>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</si>
  <si>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</si>
  <si>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</si>
  <si>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</si>
  <si>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</si>
  <si>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</si>
  <si>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</si>
  <si>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</si>
  <si>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</si>
  <si>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</si>
  <si>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</si>
  <si>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</si>
  <si>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</si>
  <si>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</si>
  <si>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</si>
  <si>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</si>
  <si>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</si>
  <si>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</si>
  <si>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</si>
  <si>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</si>
  <si>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</si>
  <si>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</si>
  <si>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</si>
  <si>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</si>
  <si>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</si>
  <si>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</si>
  <si>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</si>
  <si>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</si>
  <si>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</si>
  <si>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</si>
  <si>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</si>
  <si>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</si>
  <si>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</si>
  <si>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</si>
  <si>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</si>
  <si>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</si>
  <si>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</si>
  <si>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</si>
  <si>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</si>
  <si>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</si>
  <si>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</si>
  <si>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</si>
  <si>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</si>
  <si>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</si>
  <si>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</si>
  <si>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</si>
  <si>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</si>
  <si>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</si>
  <si>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</si>
  <si>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</si>
  <si>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</si>
  <si>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</si>
  <si>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</si>
  <si>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</si>
  <si>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</si>
  <si>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</si>
  <si>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</si>
  <si>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</si>
  <si>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</si>
  <si>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</si>
  <si>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</si>
  <si>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</si>
  <si>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</si>
  <si>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</si>
  <si>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</si>
  <si>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</si>
  <si>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</si>
  <si>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</si>
  <si>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</si>
  <si>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</si>
  <si>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</si>
  <si>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</si>
  <si>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</si>
  <si>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</si>
  <si>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</si>
  <si>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</si>
  <si>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</si>
  <si>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</si>
  <si>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</si>
  <si>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</si>
  <si>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</si>
  <si>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</si>
  <si>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</si>
  <si>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</si>
  <si>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</si>
  <si>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</si>
  <si>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</si>
  <si>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</si>
  <si>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</si>
  <si>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</si>
  <si>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</si>
  <si>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</si>
  <si>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</si>
  <si>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</si>
  <si>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</si>
  <si>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</si>
  <si>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</si>
  <si>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</si>
  <si>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</si>
  <si>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</si>
  <si>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</si>
  <si>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</si>
  <si>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</si>
  <si>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</si>
  <si>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</si>
  <si>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</si>
  <si>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</si>
  <si>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</si>
  <si>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</si>
  <si>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</si>
  <si>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</si>
  <si>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</si>
  <si>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</si>
  <si>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</si>
  <si>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</si>
  <si>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</si>
  <si>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</si>
  <si>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</si>
  <si>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</si>
  <si>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</si>
  <si>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</si>
  <si>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</si>
  <si>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</si>
  <si>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</si>
  <si>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</si>
  <si>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</si>
  <si>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</si>
  <si>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</si>
  <si>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</si>
  <si>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</si>
  <si>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</si>
  <si>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</si>
  <si>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</si>
  <si>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</si>
  <si>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</si>
  <si>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</si>
  <si>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</si>
  <si>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</si>
  <si>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</si>
  <si>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</si>
  <si>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</si>
  <si>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</si>
  <si>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</si>
  <si>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</si>
  <si>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</si>
  <si>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</si>
  <si>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</si>
  <si>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</si>
  <si>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</si>
  <si>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</si>
  <si>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</si>
  <si>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</si>
  <si>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</si>
  <si>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</si>
  <si>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</si>
  <si>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</si>
  <si>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</si>
  <si>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</si>
  <si>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</si>
  <si>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</si>
  <si>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</si>
  <si>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</si>
  <si>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</si>
  <si>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</si>
  <si>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</si>
  <si>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</si>
  <si>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</si>
  <si>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</si>
  <si>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</si>
  <si>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</si>
  <si>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</si>
  <si>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</si>
  <si>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</si>
  <si>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</si>
  <si>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</si>
  <si>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</si>
  <si>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</si>
  <si>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</si>
  <si>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</si>
  <si>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</si>
  <si>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</si>
  <si>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</si>
  <si>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</si>
  <si>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</si>
  <si>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</si>
  <si>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</si>
  <si>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</si>
  <si>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</si>
  <si>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</si>
  <si>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</si>
  <si>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</si>
  <si>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</si>
  <si>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</si>
  <si>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</si>
  <si>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</si>
  <si>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</si>
  <si>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</si>
  <si>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</si>
  <si>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</si>
  <si>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</si>
  <si>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</si>
  <si>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</si>
  <si>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</si>
  <si>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</si>
  <si>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</si>
  <si>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</si>
  <si>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</si>
  <si>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</si>
  <si>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</si>
  <si>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</si>
  <si>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</si>
  <si>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</si>
  <si>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</si>
  <si>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</si>
  <si>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</si>
  <si>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</si>
  <si>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</si>
  <si>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</si>
  <si>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</si>
  <si>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</si>
  <si>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</si>
  <si>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</si>
  <si>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</si>
  <si>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</si>
  <si>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</si>
  <si>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</si>
  <si>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</si>
  <si>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</si>
  <si>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</si>
  <si>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</si>
  <si>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</si>
  <si>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</si>
  <si>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</si>
  <si>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</si>
  <si>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</si>
  <si>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</si>
  <si>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</si>
  <si>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</si>
  <si>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</si>
  <si>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</si>
  <si>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</si>
  <si>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</si>
  <si>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</si>
  <si>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</si>
  <si>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</si>
  <si>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</si>
  <si>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</si>
  <si>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</si>
  <si>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</si>
  <si>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</si>
  <si>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</si>
  <si>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</si>
  <si>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</si>
  <si>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</si>
  <si>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</si>
  <si>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</si>
  <si>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</si>
  <si>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</si>
  <si>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</si>
  <si>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</si>
  <si>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</si>
  <si>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</si>
  <si>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</si>
  <si>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</si>
  <si>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</si>
  <si>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</si>
  <si>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</si>
  <si>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</si>
  <si>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</si>
  <si>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</si>
  <si>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</si>
  <si>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</si>
  <si>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</si>
  <si>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</si>
  <si>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</si>
  <si>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</si>
  <si>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</si>
  <si>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</si>
  <si>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</si>
  <si>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</si>
  <si>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</si>
  <si>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</si>
  <si>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</si>
  <si>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</si>
  <si>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</si>
  <si>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</si>
  <si>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</si>
  <si>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</si>
  <si>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</si>
  <si>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</si>
  <si>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</si>
  <si>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</si>
  <si>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</si>
  <si>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</si>
  <si>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</si>
  <si>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</si>
  <si>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</si>
  <si>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</si>
  <si>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</si>
  <si>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</si>
  <si>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</si>
  <si>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</si>
  <si>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</si>
  <si>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</si>
  <si>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</si>
  <si>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</si>
  <si>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</si>
  <si>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</si>
  <si>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</si>
  <si>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</si>
  <si>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</si>
  <si>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</si>
  <si>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</si>
  <si>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</si>
  <si>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</si>
  <si>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</si>
  <si>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</si>
  <si>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</si>
  <si>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</si>
  <si>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</si>
  <si>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</si>
  <si>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</si>
  <si>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</si>
  <si>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</si>
  <si>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</si>
  <si>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</si>
  <si>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</si>
  <si>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</si>
  <si>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</si>
  <si>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</si>
  <si>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</si>
  <si>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</si>
  <si>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</si>
  <si>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</si>
  <si>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</si>
  <si>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</si>
  <si>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</si>
  <si>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</si>
  <si>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</si>
  <si>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</si>
  <si>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</si>
  <si>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</si>
  <si>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</si>
  <si>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</si>
  <si>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</si>
  <si>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</si>
  <si>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</si>
  <si>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</si>
  <si>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</si>
  <si>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</si>
  <si>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</si>
  <si>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</si>
  <si>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</si>
  <si>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</si>
  <si>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</si>
  <si>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</si>
  <si>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</si>
  <si>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</si>
  <si>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</si>
  <si>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</si>
  <si>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</si>
  <si>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</si>
  <si>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</si>
  <si>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</si>
  <si>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</si>
  <si>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</si>
  <si>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</si>
  <si>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</si>
  <si>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</si>
  <si>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</si>
  <si>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</si>
  <si>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</si>
  <si>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</si>
  <si>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</si>
  <si>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</si>
  <si>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</si>
  <si>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</si>
  <si>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</si>
  <si>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</si>
  <si>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</si>
  <si>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</si>
  <si>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</si>
  <si>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</si>
  <si>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</si>
  <si>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</si>
  <si>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</si>
  <si>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</si>
  <si>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</si>
  <si>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</si>
  <si>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</si>
  <si>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</si>
  <si>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</si>
  <si>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</si>
  <si>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</si>
  <si>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</si>
  <si>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</si>
  <si>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</si>
  <si>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</si>
  <si>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</si>
  <si>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</si>
  <si>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</si>
  <si>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</si>
  <si>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</si>
  <si>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</si>
  <si>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</si>
  <si>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</si>
  <si>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</si>
  <si>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</si>
  <si>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</si>
  <si>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</si>
  <si>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</si>
  <si>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</si>
  <si>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</si>
  <si>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</si>
  <si>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</si>
  <si>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</si>
  <si>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</si>
  <si>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</si>
  <si>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</si>
  <si>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</si>
  <si>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</si>
  <si>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</si>
  <si>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</si>
  <si>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</si>
  <si>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</si>
  <si>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</si>
  <si>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</si>
  <si>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</si>
  <si>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</si>
  <si>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</si>
  <si>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</si>
  <si>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</si>
  <si>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</si>
  <si>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</si>
  <si>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</si>
  <si>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</si>
  <si>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</si>
  <si>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</si>
  <si>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</si>
  <si>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</si>
  <si>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</si>
  <si>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</si>
  <si>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</si>
  <si>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</si>
  <si>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</si>
  <si>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</si>
  <si>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</si>
  <si>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</si>
  <si>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</si>
  <si>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</si>
  <si>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</si>
  <si>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</si>
  <si>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</si>
  <si>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</si>
  <si>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</si>
  <si>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</si>
  <si>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</si>
  <si>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</si>
  <si>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</si>
  <si>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</si>
  <si>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</si>
  <si>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</si>
  <si>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</si>
  <si>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</si>
  <si>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</si>
  <si>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</si>
  <si>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</si>
  <si>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</si>
  <si>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</si>
  <si>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</si>
  <si>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</si>
  <si>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</si>
  <si>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</si>
  <si>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</si>
  <si>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</si>
  <si>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</si>
  <si>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</si>
  <si>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</si>
  <si>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</si>
  <si>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</si>
  <si>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</si>
  <si>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</si>
  <si>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</si>
  <si>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</si>
  <si>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</si>
  <si>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</si>
  <si>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</si>
  <si>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</si>
  <si>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</si>
  <si>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</si>
  <si>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</si>
  <si>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</si>
  <si>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</si>
  <si>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</si>
  <si>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</si>
  <si>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</si>
  <si>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</si>
  <si>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</si>
  <si>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</si>
  <si>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</si>
  <si>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</si>
  <si>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</si>
  <si>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</si>
  <si>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</si>
  <si>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</si>
  <si>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</si>
  <si>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</si>
  <si>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</si>
  <si>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</si>
  <si>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</si>
  <si>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</si>
  <si>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</si>
  <si>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</si>
  <si>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</si>
  <si>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</si>
  <si>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</si>
  <si>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</si>
  <si>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</si>
  <si>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</si>
  <si>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</si>
  <si>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</si>
  <si>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</si>
  <si>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</si>
  <si>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</si>
  <si>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</si>
  <si>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</si>
  <si>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</si>
  <si>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</si>
  <si>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</si>
  <si>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</si>
  <si>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</si>
  <si>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</si>
  <si>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</si>
  <si>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</si>
  <si>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</si>
  <si>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</si>
  <si>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</si>
  <si>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</si>
  <si>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</si>
  <si>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</si>
  <si>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</si>
  <si>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</si>
  <si>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</si>
  <si>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</si>
  <si>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</si>
  <si>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</si>
  <si>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</si>
  <si>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</si>
  <si>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</si>
  <si>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</si>
  <si>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</si>
  <si>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</si>
  <si>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</si>
  <si>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</si>
  <si>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</si>
  <si>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</si>
  <si>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</si>
  <si>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</si>
  <si>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</si>
  <si>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</si>
  <si>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</si>
  <si>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</si>
  <si>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</si>
  <si>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</si>
  <si>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</si>
  <si>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</si>
  <si>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</si>
  <si>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</si>
  <si>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</si>
  <si>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</si>
  <si>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</si>
  <si>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</si>
  <si>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</si>
  <si>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</si>
  <si>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</si>
  <si>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</si>
  <si>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</si>
  <si>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</si>
  <si>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</si>
  <si>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</si>
  <si>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</si>
  <si>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</si>
  <si>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</si>
  <si>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</si>
  <si>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</si>
  <si>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</si>
  <si>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</si>
  <si>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</si>
  <si>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</si>
  <si>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</si>
  <si>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</si>
  <si>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</si>
  <si>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</si>
  <si>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</si>
  <si>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</si>
  <si>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</si>
  <si>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</si>
  <si>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</si>
  <si>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</si>
  <si>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</si>
  <si>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</si>
  <si>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</si>
  <si>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</si>
  <si>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</si>
  <si>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</si>
  <si>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</si>
  <si>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</si>
  <si>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</si>
  <si>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</si>
  <si>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</si>
  <si>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</si>
  <si>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</si>
  <si>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</si>
  <si>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</si>
  <si>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</si>
  <si>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</si>
  <si>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</si>
  <si>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</si>
  <si>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</si>
  <si>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</si>
  <si>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</si>
  <si>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</si>
  <si>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</si>
  <si>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</si>
  <si>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</si>
  <si>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</si>
  <si>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</si>
  <si>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</si>
  <si>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</si>
  <si>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</si>
  <si>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</si>
  <si>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</si>
  <si>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</si>
  <si>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</si>
  <si>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</si>
  <si>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</si>
  <si>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</si>
  <si>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</si>
  <si>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</si>
  <si>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</si>
  <si>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</si>
  <si>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</si>
  <si>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</si>
  <si>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</si>
  <si>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</si>
  <si>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</si>
  <si>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</si>
  <si>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</si>
  <si>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</si>
  <si>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</si>
  <si>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</si>
  <si>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</si>
  <si>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</si>
  <si>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</si>
  <si>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</si>
  <si>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</si>
  <si>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</si>
  <si>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</si>
  <si>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</si>
  <si>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</si>
  <si>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</si>
  <si>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</si>
  <si>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</si>
  <si>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</si>
  <si>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</si>
  <si>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</si>
  <si>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</si>
  <si>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</si>
  <si>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</si>
  <si>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</si>
  <si>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</si>
  <si>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</si>
  <si>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</si>
  <si>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</si>
  <si>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</si>
  <si>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</si>
  <si>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</si>
  <si>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</si>
  <si>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</si>
  <si>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</si>
  <si>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</si>
  <si>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</si>
  <si>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</si>
  <si>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</si>
  <si>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</si>
  <si>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Newport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</si>
</sst>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0B39-74ED-4608-9FD8-8F380E0ADE4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401</v>
      </c>
      <c r="C2" s="21">
        <v>401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1268895.51+5000</f>
        <v>1273895.51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346571.34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240094.88</v>
      </c>
      <c r="G12" s="18">
        <v>49071.53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110044.37</v>
      </c>
      <c r="G13" s="18">
        <v>14490.46</v>
      </c>
      <c r="H13" s="18">
        <v>11542.75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4024.96</v>
      </c>
      <c r="G14" s="18">
        <v>6268.59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8305.27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8332.39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1636392.11</v>
      </c>
      <c r="G19" s="41">
        <f>SUM(G9:G18)</f>
        <v>78135.850000000006</v>
      </c>
      <c r="H19" s="41">
        <f>SUM(H9:H18)</f>
        <v>11542.75</v>
      </c>
      <c r="I19" s="41">
        <f>SUM(I9:I18)</f>
        <v>0</v>
      </c>
      <c r="J19" s="41">
        <f>SUM(J9:J18)</f>
        <v>346571.34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1811.12</v>
      </c>
      <c r="G24" s="18"/>
      <c r="H24" s="18">
        <v>4020.42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22953.57</v>
      </c>
      <c r="G25" s="18">
        <v>60380.480000000003</v>
      </c>
      <c r="H25" s="18">
        <v>5861.68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2876.39</v>
      </c>
      <c r="G30" s="18"/>
      <c r="H30" s="18">
        <v>808.15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3922.57</v>
      </c>
      <c r="H31" s="18">
        <v>852.5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27641.079999999998</v>
      </c>
      <c r="G33" s="41">
        <f>SUM(G23:G32)</f>
        <v>64303.05</v>
      </c>
      <c r="H33" s="41">
        <f>SUM(H23:H32)</f>
        <v>11542.75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8305.27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1123179.14+16388.89</f>
        <v>1139568.0299999998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300000</v>
      </c>
      <c r="G41" s="18">
        <v>5527.53</v>
      </c>
      <c r="H41" s="18"/>
      <c r="I41" s="18"/>
      <c r="J41" s="13">
        <f>SUM(I449)</f>
        <v>346571.34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169183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1608751.0299999998</v>
      </c>
      <c r="G43" s="41">
        <f>SUM(G35:G42)</f>
        <v>13832.8</v>
      </c>
      <c r="H43" s="41">
        <f>SUM(H35:H42)</f>
        <v>0</v>
      </c>
      <c r="I43" s="41">
        <f>SUM(I35:I42)</f>
        <v>0</v>
      </c>
      <c r="J43" s="41">
        <f>SUM(J35:J42)</f>
        <v>346571.34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1636392.1099999999</v>
      </c>
      <c r="G44" s="41">
        <f>G43+G33</f>
        <v>78135.850000000006</v>
      </c>
      <c r="H44" s="41">
        <f>H43+H33</f>
        <v>11542.75</v>
      </c>
      <c r="I44" s="41">
        <f>I43+I33</f>
        <v>0</v>
      </c>
      <c r="J44" s="41">
        <f>J43+J33</f>
        <v>346571.34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5077227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5077227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9280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1100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1390566.49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153845.5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32970.339999999997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6015</v>
      </c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1593777.33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30883.7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30883.7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2148.59</v>
      </c>
      <c r="G88" s="18"/>
      <c r="H88" s="18"/>
      <c r="I88" s="18"/>
      <c r="J88" s="18">
        <v>5745.29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142396.88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427.65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65442.720000000001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16686.189999999999</v>
      </c>
      <c r="G102" s="18">
        <v>31468.49</v>
      </c>
      <c r="H102" s="18">
        <v>8193.89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84705.150000000009</v>
      </c>
      <c r="G103" s="41">
        <f>SUM(G88:G102)</f>
        <v>173865.37</v>
      </c>
      <c r="H103" s="41">
        <f>SUM(H88:H102)</f>
        <v>8193.89</v>
      </c>
      <c r="I103" s="41">
        <f>SUM(I88:I102)</f>
        <v>0</v>
      </c>
      <c r="J103" s="41">
        <f>SUM(J88:J102)</f>
        <v>5745.29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6786593.1800000006</v>
      </c>
      <c r="G104" s="41">
        <f>G52+G103</f>
        <v>173865.37</v>
      </c>
      <c r="H104" s="41">
        <f>H52+H71+H86+H103</f>
        <v>8193.89</v>
      </c>
      <c r="I104" s="41">
        <f>I52+I103</f>
        <v>0</v>
      </c>
      <c r="J104" s="41">
        <f>J52+J103</f>
        <v>5745.29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4996433.71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1074591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1916976.29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7988001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321772.40000000002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222005.42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31833.42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3394.67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4632.0200000000004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12150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591155.91000000015</v>
      </c>
      <c r="G128" s="41">
        <f>SUM(G115:G127)</f>
        <v>4632.0200000000004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8579156.9100000001</v>
      </c>
      <c r="G132" s="41">
        <f>G113+SUM(G128:G129)</f>
        <v>4632.0200000000004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512650.27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410162.72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157464.51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257631.93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277498.15000000002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169110.58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36224.120000000003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169110.58</v>
      </c>
      <c r="G154" s="41">
        <f>SUM(G142:G153)</f>
        <v>257631.93</v>
      </c>
      <c r="H154" s="41">
        <f>SUM(H142:H153)</f>
        <v>1393999.77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>
        <v>9721.5</v>
      </c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169110.58</v>
      </c>
      <c r="G161" s="41">
        <f>G139+G154+SUM(G155:G160)</f>
        <v>267353.43</v>
      </c>
      <c r="H161" s="41">
        <f>H139+H154+SUM(H155:H160)</f>
        <v>1393999.77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15200</v>
      </c>
      <c r="H171" s="18"/>
      <c r="I171" s="18"/>
      <c r="J171" s="18">
        <v>120000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15200</v>
      </c>
      <c r="H175" s="41">
        <f>SUM(H171:H174)</f>
        <v>0</v>
      </c>
      <c r="I175" s="41">
        <f>SUM(I171:I174)</f>
        <v>0</v>
      </c>
      <c r="J175" s="41">
        <f>SUM(J171:J174)</f>
        <v>120000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15200</v>
      </c>
      <c r="H184" s="41">
        <f>+H175+SUM(H180:H183)</f>
        <v>0</v>
      </c>
      <c r="I184" s="41">
        <f>I169+I175+SUM(I180:I183)</f>
        <v>0</v>
      </c>
      <c r="J184" s="41">
        <f>J175</f>
        <v>120000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15534860.67</v>
      </c>
      <c r="G185" s="47">
        <f>G104+G132+G161+G184</f>
        <v>461050.81999999995</v>
      </c>
      <c r="H185" s="47">
        <f>H104+H132+H161+H184</f>
        <v>1402193.66</v>
      </c>
      <c r="I185" s="47">
        <f>I104+I132+I161+I184</f>
        <v>0</v>
      </c>
      <c r="J185" s="47">
        <f>J104+J132+J184</f>
        <v>125745.29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1409673</v>
      </c>
      <c r="G189" s="18">
        <v>666686</v>
      </c>
      <c r="H189" s="18">
        <v>7949</v>
      </c>
      <c r="I189" s="18">
        <v>75161</v>
      </c>
      <c r="J189" s="18">
        <v>2525</v>
      </c>
      <c r="K189" s="18">
        <v>600</v>
      </c>
      <c r="L189" s="19">
        <f>SUM(F189:K189)</f>
        <v>2162594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918549</v>
      </c>
      <c r="G190" s="18">
        <v>384381</v>
      </c>
      <c r="H190" s="18">
        <v>453451</v>
      </c>
      <c r="I190" s="18">
        <v>11484</v>
      </c>
      <c r="J190" s="18"/>
      <c r="K190" s="18">
        <v>820</v>
      </c>
      <c r="L190" s="19">
        <f>SUM(F190:K190)</f>
        <v>1768685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1918</v>
      </c>
      <c r="G192" s="18">
        <v>431</v>
      </c>
      <c r="H192" s="18"/>
      <c r="I192" s="18"/>
      <c r="J192" s="18"/>
      <c r="K192" s="18"/>
      <c r="L192" s="19">
        <f>SUM(F192:K192)</f>
        <v>2349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162642</v>
      </c>
      <c r="G194" s="18">
        <v>60385</v>
      </c>
      <c r="H194" s="18">
        <v>6933</v>
      </c>
      <c r="I194" s="18">
        <v>6222</v>
      </c>
      <c r="J194" s="18"/>
      <c r="K194" s="18"/>
      <c r="L194" s="19">
        <f t="shared" ref="L194:L200" si="0">SUM(F194:K194)</f>
        <v>236182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127785</v>
      </c>
      <c r="G195" s="18">
        <v>77882</v>
      </c>
      <c r="H195" s="18">
        <v>53077</v>
      </c>
      <c r="I195" s="18">
        <v>23137</v>
      </c>
      <c r="J195" s="18">
        <v>4747</v>
      </c>
      <c r="K195" s="18"/>
      <c r="L195" s="19">
        <f t="shared" si="0"/>
        <v>286628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3903</v>
      </c>
      <c r="G196" s="18">
        <v>6497</v>
      </c>
      <c r="H196" s="18">
        <f>282784-(5927.74+255.32)</f>
        <v>276600.94</v>
      </c>
      <c r="I196" s="18">
        <v>2000</v>
      </c>
      <c r="J196" s="18"/>
      <c r="K196" s="18">
        <v>2240</v>
      </c>
      <c r="L196" s="19">
        <f t="shared" si="0"/>
        <v>291240.94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209480</v>
      </c>
      <c r="G197" s="18">
        <v>57210</v>
      </c>
      <c r="H197" s="18">
        <v>13855</v>
      </c>
      <c r="I197" s="18">
        <f>1643+2.38</f>
        <v>1645.38</v>
      </c>
      <c r="J197" s="18">
        <v>1662</v>
      </c>
      <c r="K197" s="18">
        <v>1109</v>
      </c>
      <c r="L197" s="19">
        <f t="shared" si="0"/>
        <v>284961.38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146851</v>
      </c>
      <c r="G199" s="18">
        <v>77055</v>
      </c>
      <c r="H199" s="18">
        <v>80176</v>
      </c>
      <c r="I199" s="18">
        <v>125661</v>
      </c>
      <c r="J199" s="18">
        <v>2179</v>
      </c>
      <c r="K199" s="18"/>
      <c r="L199" s="19">
        <f t="shared" si="0"/>
        <v>431922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69560</v>
      </c>
      <c r="G200" s="18">
        <v>20574</v>
      </c>
      <c r="H200" s="18">
        <v>54744</v>
      </c>
      <c r="I200" s="18">
        <v>20628</v>
      </c>
      <c r="J200" s="18"/>
      <c r="K200" s="18">
        <v>252</v>
      </c>
      <c r="L200" s="19">
        <f t="shared" si="0"/>
        <v>165758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3050361</v>
      </c>
      <c r="G203" s="41">
        <f t="shared" si="1"/>
        <v>1351101</v>
      </c>
      <c r="H203" s="41">
        <f t="shared" si="1"/>
        <v>946785.94</v>
      </c>
      <c r="I203" s="41">
        <f t="shared" si="1"/>
        <v>265938.38</v>
      </c>
      <c r="J203" s="41">
        <f t="shared" si="1"/>
        <v>11113</v>
      </c>
      <c r="K203" s="41">
        <f t="shared" si="1"/>
        <v>5021</v>
      </c>
      <c r="L203" s="41">
        <f t="shared" si="1"/>
        <v>5630320.3200000003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530186</v>
      </c>
      <c r="G207" s="18">
        <v>259069</v>
      </c>
      <c r="H207" s="18">
        <v>463</v>
      </c>
      <c r="I207" s="18">
        <v>31685</v>
      </c>
      <c r="J207" s="18"/>
      <c r="K207" s="18">
        <v>667</v>
      </c>
      <c r="L207" s="19">
        <f>SUM(F207:K207)</f>
        <v>822070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206804</v>
      </c>
      <c r="G208" s="18">
        <v>131574</v>
      </c>
      <c r="H208" s="18">
        <f>167148-3605.93</f>
        <v>163542.07</v>
      </c>
      <c r="I208" s="18">
        <v>1969</v>
      </c>
      <c r="J208" s="18">
        <v>634</v>
      </c>
      <c r="K208" s="18">
        <v>252</v>
      </c>
      <c r="L208" s="19">
        <f>SUM(F208:K208)</f>
        <v>504775.07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17920</v>
      </c>
      <c r="G210" s="18">
        <v>1956</v>
      </c>
      <c r="H210" s="18"/>
      <c r="I210" s="18"/>
      <c r="J210" s="18"/>
      <c r="K210" s="18"/>
      <c r="L210" s="19">
        <f>SUM(F210:K210)</f>
        <v>19876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82406</v>
      </c>
      <c r="G212" s="18">
        <v>30607</v>
      </c>
      <c r="H212" s="18">
        <v>1236</v>
      </c>
      <c r="I212" s="18">
        <v>462</v>
      </c>
      <c r="J212" s="18"/>
      <c r="K212" s="18"/>
      <c r="L212" s="19">
        <f t="shared" ref="L212:L218" si="2">SUM(F212:K212)</f>
        <v>114711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49777</v>
      </c>
      <c r="G213" s="18">
        <v>27734</v>
      </c>
      <c r="H213" s="18">
        <v>18437</v>
      </c>
      <c r="I213" s="18">
        <v>18183</v>
      </c>
      <c r="J213" s="18">
        <v>27982</v>
      </c>
      <c r="K213" s="18">
        <v>571</v>
      </c>
      <c r="L213" s="19">
        <f t="shared" si="2"/>
        <v>142684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1199</v>
      </c>
      <c r="G214" s="18">
        <v>1996</v>
      </c>
      <c r="H214" s="18">
        <f>86848-(1820.51+78.41)</f>
        <v>84949.08</v>
      </c>
      <c r="I214" s="18">
        <v>614</v>
      </c>
      <c r="J214" s="18"/>
      <c r="K214" s="18">
        <v>688</v>
      </c>
      <c r="L214" s="19">
        <f t="shared" si="2"/>
        <v>89446.080000000002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93697</v>
      </c>
      <c r="G215" s="18">
        <v>33775</v>
      </c>
      <c r="H215" s="18"/>
      <c r="I215" s="18"/>
      <c r="J215" s="18"/>
      <c r="K215" s="18"/>
      <c r="L215" s="19">
        <f t="shared" si="2"/>
        <v>127472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48223</v>
      </c>
      <c r="G217" s="18">
        <v>28813</v>
      </c>
      <c r="H217" s="18">
        <v>43213</v>
      </c>
      <c r="I217" s="18">
        <v>47075</v>
      </c>
      <c r="J217" s="18">
        <v>1152</v>
      </c>
      <c r="K217" s="18"/>
      <c r="L217" s="19">
        <f t="shared" si="2"/>
        <v>168476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24247</v>
      </c>
      <c r="G218" s="18">
        <v>6347</v>
      </c>
      <c r="H218" s="18">
        <v>17181</v>
      </c>
      <c r="I218" s="18">
        <v>6277</v>
      </c>
      <c r="J218" s="18"/>
      <c r="K218" s="18">
        <v>77</v>
      </c>
      <c r="L218" s="19">
        <f t="shared" si="2"/>
        <v>54129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1054459</v>
      </c>
      <c r="G221" s="41">
        <f>SUM(G207:G220)</f>
        <v>521871</v>
      </c>
      <c r="H221" s="41">
        <f>SUM(H207:H220)</f>
        <v>329021.15000000002</v>
      </c>
      <c r="I221" s="41">
        <f>SUM(I207:I220)</f>
        <v>106265</v>
      </c>
      <c r="J221" s="41">
        <f>SUM(J207:J220)</f>
        <v>29768</v>
      </c>
      <c r="K221" s="41">
        <f t="shared" si="3"/>
        <v>2255</v>
      </c>
      <c r="L221" s="41">
        <f t="shared" si="3"/>
        <v>2043639.1500000001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1137741</v>
      </c>
      <c r="G225" s="18">
        <v>508215</v>
      </c>
      <c r="H225" s="18">
        <v>21022</v>
      </c>
      <c r="I225" s="18">
        <v>66054</v>
      </c>
      <c r="J225" s="18">
        <v>938</v>
      </c>
      <c r="K225" s="18">
        <v>977</v>
      </c>
      <c r="L225" s="19">
        <f>SUM(F225:K225)</f>
        <v>1734947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418114</v>
      </c>
      <c r="G226" s="18">
        <v>194830</v>
      </c>
      <c r="H226" s="18">
        <v>709528</v>
      </c>
      <c r="I226" s="18">
        <v>2390</v>
      </c>
      <c r="J226" s="18">
        <v>636</v>
      </c>
      <c r="K226" s="18">
        <v>623</v>
      </c>
      <c r="L226" s="19">
        <f>SUM(F226:K226)</f>
        <v>1326121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371414</v>
      </c>
      <c r="G227" s="18">
        <v>168906</v>
      </c>
      <c r="H227" s="18">
        <v>21400</v>
      </c>
      <c r="I227" s="18">
        <v>67379</v>
      </c>
      <c r="J227" s="18">
        <v>11025</v>
      </c>
      <c r="K227" s="18"/>
      <c r="L227" s="19">
        <f>SUM(F227:K227)</f>
        <v>640124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116847</v>
      </c>
      <c r="G228" s="18">
        <v>25342</v>
      </c>
      <c r="H228" s="18">
        <v>41136</v>
      </c>
      <c r="I228" s="18">
        <v>15160</v>
      </c>
      <c r="J228" s="18">
        <v>6688</v>
      </c>
      <c r="K228" s="18">
        <v>6198</v>
      </c>
      <c r="L228" s="19">
        <f>SUM(F228:K228)</f>
        <v>211371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209313</v>
      </c>
      <c r="G230" s="18">
        <v>98195</v>
      </c>
      <c r="H230" s="18">
        <v>12451</v>
      </c>
      <c r="I230" s="18">
        <v>2354</v>
      </c>
      <c r="J230" s="18"/>
      <c r="K230" s="18">
        <v>120</v>
      </c>
      <c r="L230" s="19">
        <f t="shared" ref="L230:L236" si="4">SUM(F230:K230)</f>
        <v>322433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123227</v>
      </c>
      <c r="G231" s="18">
        <v>68658</v>
      </c>
      <c r="H231" s="18">
        <v>45644</v>
      </c>
      <c r="I231" s="18">
        <v>45013</v>
      </c>
      <c r="J231" s="18">
        <v>69273</v>
      </c>
      <c r="K231" s="18">
        <v>1412</v>
      </c>
      <c r="L231" s="19">
        <f t="shared" si="4"/>
        <v>353227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2968</v>
      </c>
      <c r="G232" s="18">
        <v>4940</v>
      </c>
      <c r="H232" s="18">
        <f>215001-(4506.86+194.12)</f>
        <v>210300.02</v>
      </c>
      <c r="I232" s="18">
        <v>1521</v>
      </c>
      <c r="J232" s="18"/>
      <c r="K232" s="18">
        <v>1703</v>
      </c>
      <c r="L232" s="19">
        <f t="shared" si="4"/>
        <v>221432.02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306432</v>
      </c>
      <c r="G233" s="18">
        <v>112805</v>
      </c>
      <c r="H233" s="18">
        <v>24865</v>
      </c>
      <c r="I233" s="18">
        <v>11588</v>
      </c>
      <c r="J233" s="18">
        <v>4305</v>
      </c>
      <c r="K233" s="18">
        <v>5269</v>
      </c>
      <c r="L233" s="19">
        <f t="shared" si="4"/>
        <v>465264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119381</v>
      </c>
      <c r="G235" s="18">
        <v>71330</v>
      </c>
      <c r="H235" s="18">
        <v>106981</v>
      </c>
      <c r="I235" s="18">
        <v>116538</v>
      </c>
      <c r="J235" s="18">
        <v>2852</v>
      </c>
      <c r="K235" s="18"/>
      <c r="L235" s="19">
        <f t="shared" si="4"/>
        <v>417082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64393</v>
      </c>
      <c r="G236" s="18">
        <v>17240</v>
      </c>
      <c r="H236" s="18">
        <v>120002</v>
      </c>
      <c r="I236" s="18">
        <v>15751</v>
      </c>
      <c r="J236" s="18"/>
      <c r="K236" s="18">
        <v>191</v>
      </c>
      <c r="L236" s="19">
        <f t="shared" si="4"/>
        <v>217577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2869830</v>
      </c>
      <c r="G239" s="41">
        <f t="shared" si="5"/>
        <v>1270461</v>
      </c>
      <c r="H239" s="41">
        <f t="shared" si="5"/>
        <v>1313329.02</v>
      </c>
      <c r="I239" s="41">
        <f t="shared" si="5"/>
        <v>343748</v>
      </c>
      <c r="J239" s="41">
        <f t="shared" si="5"/>
        <v>95717</v>
      </c>
      <c r="K239" s="41">
        <f t="shared" si="5"/>
        <v>16493</v>
      </c>
      <c r="L239" s="41">
        <f t="shared" si="5"/>
        <v>5909578.0199999996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6974650</v>
      </c>
      <c r="G249" s="41">
        <f t="shared" si="8"/>
        <v>3143433</v>
      </c>
      <c r="H249" s="41">
        <f t="shared" si="8"/>
        <v>2589136.11</v>
      </c>
      <c r="I249" s="41">
        <f t="shared" si="8"/>
        <v>715951.38</v>
      </c>
      <c r="J249" s="41">
        <f t="shared" si="8"/>
        <v>136598</v>
      </c>
      <c r="K249" s="41">
        <f t="shared" si="8"/>
        <v>23769</v>
      </c>
      <c r="L249" s="41">
        <f t="shared" si="8"/>
        <v>13583537.49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565000</v>
      </c>
      <c r="L252" s="19">
        <f>SUM(F252:K252)</f>
        <v>565000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442725</v>
      </c>
      <c r="L253" s="19">
        <f>SUM(F253:K253)</f>
        <v>442725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15200</v>
      </c>
      <c r="L255" s="19">
        <f>SUM(F255:K255)</f>
        <v>15200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120000</v>
      </c>
      <c r="L258" s="19">
        <f t="shared" si="9"/>
        <v>120000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1142925</v>
      </c>
      <c r="L262" s="41">
        <f t="shared" si="9"/>
        <v>1142925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6974650</v>
      </c>
      <c r="G263" s="42">
        <f t="shared" si="11"/>
        <v>3143433</v>
      </c>
      <c r="H263" s="42">
        <f t="shared" si="11"/>
        <v>2589136.11</v>
      </c>
      <c r="I263" s="42">
        <f t="shared" si="11"/>
        <v>715951.38</v>
      </c>
      <c r="J263" s="42">
        <f t="shared" si="11"/>
        <v>136598</v>
      </c>
      <c r="K263" s="42">
        <f t="shared" si="11"/>
        <v>1166694</v>
      </c>
      <c r="L263" s="42">
        <f t="shared" si="11"/>
        <v>14726462.49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235801.11</v>
      </c>
      <c r="G268" s="18">
        <v>94160.37</v>
      </c>
      <c r="H268" s="18">
        <v>52531.839999999997</v>
      </c>
      <c r="I268" s="18">
        <v>15063.14</v>
      </c>
      <c r="J268" s="18"/>
      <c r="K268" s="18"/>
      <c r="L268" s="19">
        <f>SUM(F268:K268)</f>
        <v>397556.45999999996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135229.42000000001</v>
      </c>
      <c r="G269" s="18">
        <v>33807.14</v>
      </c>
      <c r="H269" s="18">
        <v>25293.1</v>
      </c>
      <c r="I269" s="18">
        <v>5718.11</v>
      </c>
      <c r="J269" s="18">
        <v>8416.18</v>
      </c>
      <c r="K269" s="18">
        <v>302</v>
      </c>
      <c r="L269" s="19">
        <f>SUM(F269:K269)</f>
        <v>208765.94999999998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29252</v>
      </c>
      <c r="G271" s="18">
        <v>4196.71</v>
      </c>
      <c r="H271" s="18">
        <v>1121.72</v>
      </c>
      <c r="I271" s="18"/>
      <c r="J271" s="18"/>
      <c r="K271" s="18"/>
      <c r="L271" s="19">
        <f>SUM(F271:K271)</f>
        <v>34570.43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11091.5</v>
      </c>
      <c r="G274" s="18">
        <v>4823.2</v>
      </c>
      <c r="H274" s="18">
        <v>46276.28</v>
      </c>
      <c r="I274" s="18">
        <v>4648</v>
      </c>
      <c r="J274" s="18">
        <v>1726.1</v>
      </c>
      <c r="K274" s="18">
        <v>2608.09</v>
      </c>
      <c r="L274" s="19">
        <f t="shared" si="12"/>
        <v>71173.17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19320.43</v>
      </c>
      <c r="L275" s="19">
        <f t="shared" si="12"/>
        <v>19320.43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411374.03</v>
      </c>
      <c r="G282" s="42">
        <f t="shared" si="13"/>
        <v>136987.42000000001</v>
      </c>
      <c r="H282" s="42">
        <f t="shared" si="13"/>
        <v>125222.94</v>
      </c>
      <c r="I282" s="42">
        <f t="shared" si="13"/>
        <v>25429.25</v>
      </c>
      <c r="J282" s="42">
        <f t="shared" si="13"/>
        <v>10142.280000000001</v>
      </c>
      <c r="K282" s="42">
        <f t="shared" si="13"/>
        <v>22230.52</v>
      </c>
      <c r="L282" s="41">
        <f t="shared" si="13"/>
        <v>731386.44000000006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>
        <v>32710.81</v>
      </c>
      <c r="K287" s="18"/>
      <c r="L287" s="19">
        <f>SUM(F287:K287)</f>
        <v>32710.81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3406.38</v>
      </c>
      <c r="G293" s="18">
        <v>1481.28</v>
      </c>
      <c r="H293" s="18">
        <v>14212.19</v>
      </c>
      <c r="I293" s="18">
        <v>1427.48</v>
      </c>
      <c r="J293" s="18">
        <v>530.11</v>
      </c>
      <c r="K293" s="18">
        <v>800.99</v>
      </c>
      <c r="L293" s="19">
        <f t="shared" si="14"/>
        <v>21858.43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>
        <v>5933.62</v>
      </c>
      <c r="L294" s="19">
        <f t="shared" si="14"/>
        <v>5933.62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3406.38</v>
      </c>
      <c r="G301" s="42">
        <f t="shared" si="15"/>
        <v>1481.28</v>
      </c>
      <c r="H301" s="42">
        <f t="shared" si="15"/>
        <v>14212.19</v>
      </c>
      <c r="I301" s="42">
        <f t="shared" si="15"/>
        <v>1427.48</v>
      </c>
      <c r="J301" s="42">
        <f t="shared" si="15"/>
        <v>33240.92</v>
      </c>
      <c r="K301" s="42">
        <f t="shared" si="15"/>
        <v>6734.61</v>
      </c>
      <c r="L301" s="41">
        <f t="shared" si="15"/>
        <v>60502.860000000008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90136.22</v>
      </c>
      <c r="G307" s="18">
        <v>11322.46</v>
      </c>
      <c r="H307" s="18">
        <v>4339.93</v>
      </c>
      <c r="I307" s="18">
        <v>4414.92</v>
      </c>
      <c r="J307" s="18">
        <v>34083.67</v>
      </c>
      <c r="K307" s="18"/>
      <c r="L307" s="19">
        <f>SUM(F307:K307)</f>
        <v>144297.19999999998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727.5</v>
      </c>
      <c r="G311" s="18">
        <v>333.99</v>
      </c>
      <c r="H311" s="18">
        <v>58838.86</v>
      </c>
      <c r="I311" s="18">
        <v>7461.98</v>
      </c>
      <c r="J311" s="18">
        <v>2821.64</v>
      </c>
      <c r="K311" s="18"/>
      <c r="L311" s="19">
        <f t="shared" ref="L311:L317" si="16">SUM(F311:K311)</f>
        <v>70183.97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8432.8700000000008</v>
      </c>
      <c r="G312" s="18">
        <v>3667.08</v>
      </c>
      <c r="H312" s="18">
        <v>35183.83</v>
      </c>
      <c r="I312" s="18">
        <v>3533.87</v>
      </c>
      <c r="J312" s="18">
        <v>1312.35</v>
      </c>
      <c r="K312" s="18">
        <v>1982.93</v>
      </c>
      <c r="L312" s="19">
        <f t="shared" si="16"/>
        <v>54112.93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>
        <v>14689.32</v>
      </c>
      <c r="L313" s="19">
        <f t="shared" si="16"/>
        <v>14689.32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11952.92</v>
      </c>
      <c r="G314" s="18">
        <v>2560.62</v>
      </c>
      <c r="H314" s="18"/>
      <c r="I314" s="18"/>
      <c r="J314" s="18"/>
      <c r="K314" s="18">
        <v>2198.77</v>
      </c>
      <c r="L314" s="19">
        <f t="shared" si="16"/>
        <v>16712.310000000001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111249.51</v>
      </c>
      <c r="G320" s="42">
        <f t="shared" si="17"/>
        <v>17884.149999999998</v>
      </c>
      <c r="H320" s="42">
        <f t="shared" si="17"/>
        <v>98362.62</v>
      </c>
      <c r="I320" s="42">
        <f t="shared" si="17"/>
        <v>15410.77</v>
      </c>
      <c r="J320" s="42">
        <f t="shared" si="17"/>
        <v>38217.659999999996</v>
      </c>
      <c r="K320" s="42">
        <f t="shared" si="17"/>
        <v>18871.02</v>
      </c>
      <c r="L320" s="41">
        <f t="shared" si="17"/>
        <v>299995.73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46243.25</v>
      </c>
      <c r="G327" s="18">
        <v>7714.53</v>
      </c>
      <c r="H327" s="18">
        <v>236086.69</v>
      </c>
      <c r="I327" s="18">
        <v>13253.79</v>
      </c>
      <c r="J327" s="18"/>
      <c r="K327" s="18">
        <v>7010.37</v>
      </c>
      <c r="L327" s="19">
        <f t="shared" si="18"/>
        <v>310308.62999999995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46243.25</v>
      </c>
      <c r="G329" s="41">
        <f t="shared" si="19"/>
        <v>7714.53</v>
      </c>
      <c r="H329" s="41">
        <f t="shared" si="19"/>
        <v>236086.69</v>
      </c>
      <c r="I329" s="41">
        <f t="shared" si="19"/>
        <v>13253.79</v>
      </c>
      <c r="J329" s="41">
        <f t="shared" si="19"/>
        <v>0</v>
      </c>
      <c r="K329" s="41">
        <f t="shared" si="19"/>
        <v>7010.37</v>
      </c>
      <c r="L329" s="41">
        <f t="shared" si="18"/>
        <v>310308.62999999995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572273.17000000004</v>
      </c>
      <c r="G330" s="41">
        <f t="shared" si="20"/>
        <v>164067.38</v>
      </c>
      <c r="H330" s="41">
        <f t="shared" si="20"/>
        <v>473884.44</v>
      </c>
      <c r="I330" s="41">
        <f t="shared" si="20"/>
        <v>55521.29</v>
      </c>
      <c r="J330" s="41">
        <f t="shared" si="20"/>
        <v>81600.859999999986</v>
      </c>
      <c r="K330" s="41">
        <f t="shared" si="20"/>
        <v>54846.520000000004</v>
      </c>
      <c r="L330" s="41">
        <f t="shared" si="20"/>
        <v>1402193.66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572273.17000000004</v>
      </c>
      <c r="G344" s="41">
        <f>G330</f>
        <v>164067.38</v>
      </c>
      <c r="H344" s="41">
        <f>H330</f>
        <v>473884.44</v>
      </c>
      <c r="I344" s="41">
        <f>I330</f>
        <v>55521.29</v>
      </c>
      <c r="J344" s="41">
        <f>J330</f>
        <v>81600.859999999986</v>
      </c>
      <c r="K344" s="47">
        <f>K330+K343</f>
        <v>54846.520000000004</v>
      </c>
      <c r="L344" s="41">
        <f>L330+L343</f>
        <v>1402193.66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192136.33434782608</v>
      </c>
      <c r="I350" s="18">
        <v>17788.328423913041</v>
      </c>
      <c r="J350" s="18">
        <v>7633.2010869565211</v>
      </c>
      <c r="K350" s="18">
        <v>2160.1460869565217</v>
      </c>
      <c r="L350" s="13">
        <f>SUM(F350:K350)</f>
        <v>219718.00994565216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v>59008.162608695646</v>
      </c>
      <c r="I351" s="18">
        <v>5463.0821376811582</v>
      </c>
      <c r="J351" s="18">
        <v>2344.2789855072465</v>
      </c>
      <c r="K351" s="18">
        <v>663.41565217391303</v>
      </c>
      <c r="L351" s="19">
        <f>SUM(F351:K351)</f>
        <v>67478.939384057958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v>146081.18304347826</v>
      </c>
      <c r="I352" s="18">
        <v>13524.459438405796</v>
      </c>
      <c r="J352" s="18">
        <v>5803.519927536232</v>
      </c>
      <c r="K352" s="18">
        <v>1642.3582608695654</v>
      </c>
      <c r="L352" s="19">
        <f>SUM(F352:K352)</f>
        <v>167051.52067028984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397225.68</v>
      </c>
      <c r="I354" s="47">
        <f t="shared" si="22"/>
        <v>36775.869999999995</v>
      </c>
      <c r="J354" s="47">
        <f t="shared" si="22"/>
        <v>15781</v>
      </c>
      <c r="K354" s="47">
        <f t="shared" si="22"/>
        <v>4465.92</v>
      </c>
      <c r="L354" s="47">
        <f t="shared" si="22"/>
        <v>454248.47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17788.330000000002</v>
      </c>
      <c r="G360" s="63">
        <v>5463.08</v>
      </c>
      <c r="H360" s="63">
        <v>13524.46</v>
      </c>
      <c r="I360" s="56">
        <f>SUM(F360:H360)</f>
        <v>36775.870000000003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17788.330000000002</v>
      </c>
      <c r="G361" s="47">
        <f>SUM(G359:G360)</f>
        <v>5463.08</v>
      </c>
      <c r="H361" s="47">
        <f>SUM(H359:H360)</f>
        <v>13524.46</v>
      </c>
      <c r="I361" s="47">
        <f>SUM(I359:I360)</f>
        <v>36775.870000000003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20000</v>
      </c>
      <c r="H381" s="18">
        <v>2349.8000000000002</v>
      </c>
      <c r="I381" s="18"/>
      <c r="J381" s="24" t="s">
        <v>312</v>
      </c>
      <c r="K381" s="24" t="s">
        <v>312</v>
      </c>
      <c r="L381" s="56">
        <f t="shared" si="25"/>
        <v>22349.8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50000</v>
      </c>
      <c r="H382" s="18">
        <v>0</v>
      </c>
      <c r="I382" s="18"/>
      <c r="J382" s="24" t="s">
        <v>312</v>
      </c>
      <c r="K382" s="24" t="s">
        <v>312</v>
      </c>
      <c r="L382" s="56">
        <f t="shared" si="25"/>
        <v>50000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70000</v>
      </c>
      <c r="H385" s="139">
        <f>SUM(H379:H384)</f>
        <v>2349.8000000000002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72349.8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50000</v>
      </c>
      <c r="H390" s="18">
        <v>3395.49</v>
      </c>
      <c r="I390" s="18"/>
      <c r="J390" s="24" t="s">
        <v>312</v>
      </c>
      <c r="K390" s="24" t="s">
        <v>312</v>
      </c>
      <c r="L390" s="56">
        <f t="shared" si="26"/>
        <v>53395.49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3395.49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53395.49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120000</v>
      </c>
      <c r="H400" s="47">
        <f>H385+H393+H399</f>
        <v>5745.29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125745.29000000001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346571.34</v>
      </c>
      <c r="G432" s="18"/>
      <c r="H432" s="18"/>
      <c r="I432" s="56">
        <f t="shared" si="33"/>
        <v>346571.34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346571.34</v>
      </c>
      <c r="G438" s="13">
        <f>SUM(G431:G437)</f>
        <v>0</v>
      </c>
      <c r="H438" s="13">
        <f>SUM(H431:H437)</f>
        <v>0</v>
      </c>
      <c r="I438" s="13">
        <f>SUM(I431:I437)</f>
        <v>346571.34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346571.34</v>
      </c>
      <c r="G449" s="18"/>
      <c r="H449" s="18"/>
      <c r="I449" s="56">
        <f>SUM(F449:H449)</f>
        <v>346571.34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346571.34</v>
      </c>
      <c r="G450" s="83">
        <f>SUM(G446:G449)</f>
        <v>0</v>
      </c>
      <c r="H450" s="83">
        <f>SUM(H446:H449)</f>
        <v>0</v>
      </c>
      <c r="I450" s="83">
        <f>SUM(I446:I449)</f>
        <v>346571.34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346571.34</v>
      </c>
      <c r="G451" s="42">
        <f>G444+G450</f>
        <v>0</v>
      </c>
      <c r="H451" s="42">
        <f>H444+H450</f>
        <v>0</v>
      </c>
      <c r="I451" s="42">
        <f>I444+I450</f>
        <v>346571.34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800352.85</v>
      </c>
      <c r="G455" s="18">
        <v>7030.45</v>
      </c>
      <c r="H455" s="18">
        <v>0</v>
      </c>
      <c r="I455" s="18"/>
      <c r="J455" s="18">
        <v>220750.27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15534860.67</v>
      </c>
      <c r="G458" s="18">
        <v>461050.82</v>
      </c>
      <c r="H458" s="18">
        <v>1402193.66</v>
      </c>
      <c r="I458" s="18"/>
      <c r="J458" s="18">
        <v>125745.29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>
        <v>75.78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15534860.67</v>
      </c>
      <c r="G460" s="53">
        <f>SUM(G458:G459)</f>
        <v>461050.82</v>
      </c>
      <c r="H460" s="53">
        <f>SUM(H458:H459)</f>
        <v>1402193.66</v>
      </c>
      <c r="I460" s="53">
        <f>SUM(I458:I459)</f>
        <v>0</v>
      </c>
      <c r="J460" s="53">
        <f>SUM(J458:J459)</f>
        <v>125821.06999999999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14726462.49</v>
      </c>
      <c r="G462" s="18">
        <v>454248.47</v>
      </c>
      <c r="H462" s="18">
        <v>1402193.66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14726462.49</v>
      </c>
      <c r="G464" s="53">
        <f>SUM(G462:G463)</f>
        <v>454248.47</v>
      </c>
      <c r="H464" s="53">
        <f>SUM(H462:H463)</f>
        <v>1402193.66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1608751.0299999993</v>
      </c>
      <c r="G466" s="53">
        <f>(G455+G460)- G464</f>
        <v>13832.800000000047</v>
      </c>
      <c r="H466" s="53">
        <f>(H455+H460)- H464</f>
        <v>0</v>
      </c>
      <c r="I466" s="53">
        <f>(I455+I460)- I464</f>
        <v>0</v>
      </c>
      <c r="J466" s="53">
        <f>(J455+J460)- J464</f>
        <v>346571.33999999997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546800</v>
      </c>
      <c r="G483" s="18">
        <v>10156100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3.5</v>
      </c>
      <c r="G484" s="18">
        <v>4.57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210000</v>
      </c>
      <c r="G485" s="18">
        <v>9650000</v>
      </c>
      <c r="H485" s="18"/>
      <c r="I485" s="18"/>
      <c r="J485" s="18"/>
      <c r="K485" s="53">
        <f>SUM(F485:J485)</f>
        <v>9860000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55000</v>
      </c>
      <c r="G487" s="18">
        <v>510000</v>
      </c>
      <c r="H487" s="18"/>
      <c r="I487" s="18"/>
      <c r="J487" s="18"/>
      <c r="K487" s="53">
        <f t="shared" si="34"/>
        <v>565000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155000</v>
      </c>
      <c r="G488" s="205">
        <v>9140000</v>
      </c>
      <c r="H488" s="205"/>
      <c r="I488" s="205"/>
      <c r="J488" s="205"/>
      <c r="K488" s="206">
        <f t="shared" si="34"/>
        <v>9295000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9100</v>
      </c>
      <c r="G489" s="18">
        <v>3911237.5</v>
      </c>
      <c r="H489" s="18"/>
      <c r="I489" s="18"/>
      <c r="J489" s="18"/>
      <c r="K489" s="53">
        <f t="shared" si="34"/>
        <v>3920337.5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164100</v>
      </c>
      <c r="G490" s="42">
        <f>SUM(G488:G489)</f>
        <v>13051237.5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13215337.5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55000</v>
      </c>
      <c r="G491" s="205">
        <v>510000</v>
      </c>
      <c r="H491" s="205"/>
      <c r="I491" s="205"/>
      <c r="J491" s="205"/>
      <c r="K491" s="206">
        <f t="shared" si="34"/>
        <v>565000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5100</v>
      </c>
      <c r="G492" s="18">
        <v>415025</v>
      </c>
      <c r="H492" s="18"/>
      <c r="I492" s="18"/>
      <c r="J492" s="18"/>
      <c r="K492" s="53">
        <f t="shared" si="34"/>
        <v>420125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60100</v>
      </c>
      <c r="G493" s="42">
        <f>SUM(G491:G492)</f>
        <v>925025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985125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838390</v>
      </c>
      <c r="G511" s="18">
        <v>356314.95</v>
      </c>
      <c r="H511" s="18">
        <v>142024</v>
      </c>
      <c r="I511" s="18">
        <v>10441</v>
      </c>
      <c r="J511" s="18">
        <v>10075</v>
      </c>
      <c r="K511" s="18">
        <v>1122</v>
      </c>
      <c r="L511" s="88">
        <f>SUM(F511:K511)</f>
        <v>1358366.95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193309</v>
      </c>
      <c r="G512" s="18">
        <v>129889</v>
      </c>
      <c r="H512" s="18">
        <f>147801-3605.93</f>
        <v>144195.07</v>
      </c>
      <c r="I512" s="18">
        <v>2130</v>
      </c>
      <c r="J512" s="18">
        <v>634</v>
      </c>
      <c r="K512" s="18">
        <v>252</v>
      </c>
      <c r="L512" s="88">
        <f>SUM(F512:K512)</f>
        <v>470409.07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465237</v>
      </c>
      <c r="G513" s="18">
        <v>174226.2</v>
      </c>
      <c r="H513" s="18">
        <v>707889</v>
      </c>
      <c r="I513" s="18">
        <v>7014</v>
      </c>
      <c r="J513" s="18">
        <v>34720</v>
      </c>
      <c r="K513" s="18">
        <v>623</v>
      </c>
      <c r="L513" s="88">
        <f>SUM(F513:K513)</f>
        <v>1389709.2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1496936</v>
      </c>
      <c r="G514" s="108">
        <f t="shared" ref="G514:L514" si="35">SUM(G511:G513)</f>
        <v>660430.15</v>
      </c>
      <c r="H514" s="108">
        <f t="shared" si="35"/>
        <v>994108.07000000007</v>
      </c>
      <c r="I514" s="108">
        <f t="shared" si="35"/>
        <v>19585</v>
      </c>
      <c r="J514" s="108">
        <f t="shared" si="35"/>
        <v>45429</v>
      </c>
      <c r="K514" s="108">
        <f t="shared" si="35"/>
        <v>1997</v>
      </c>
      <c r="L514" s="89">
        <f t="shared" si="35"/>
        <v>3218485.2199999997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186324</v>
      </c>
      <c r="G516" s="18">
        <v>67482</v>
      </c>
      <c r="H516" s="18">
        <v>340608</v>
      </c>
      <c r="I516" s="18">
        <v>4010</v>
      </c>
      <c r="J516" s="18"/>
      <c r="K516" s="18"/>
      <c r="L516" s="88">
        <f>SUM(F516:K516)</f>
        <v>598424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26346</v>
      </c>
      <c r="G517" s="18">
        <v>5582</v>
      </c>
      <c r="H517" s="18">
        <v>2230</v>
      </c>
      <c r="I517" s="18">
        <v>208</v>
      </c>
      <c r="J517" s="18"/>
      <c r="K517" s="18"/>
      <c r="L517" s="88">
        <f>SUM(F517:K517)</f>
        <v>34366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31799</v>
      </c>
      <c r="G518" s="18">
        <v>11138</v>
      </c>
      <c r="H518" s="18">
        <v>5521</v>
      </c>
      <c r="I518" s="18">
        <v>514</v>
      </c>
      <c r="J518" s="18"/>
      <c r="K518" s="18"/>
      <c r="L518" s="88">
        <f>SUM(F518:K518)</f>
        <v>48972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244469</v>
      </c>
      <c r="G519" s="89">
        <f t="shared" ref="G519:L519" si="36">SUM(G516:G518)</f>
        <v>84202</v>
      </c>
      <c r="H519" s="89">
        <f t="shared" si="36"/>
        <v>348359</v>
      </c>
      <c r="I519" s="89">
        <f t="shared" si="36"/>
        <v>4732</v>
      </c>
      <c r="J519" s="89">
        <f t="shared" si="36"/>
        <v>0</v>
      </c>
      <c r="K519" s="89">
        <f t="shared" si="36"/>
        <v>0</v>
      </c>
      <c r="L519" s="89">
        <f t="shared" si="36"/>
        <v>681762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14757</v>
      </c>
      <c r="G521" s="18">
        <v>5903</v>
      </c>
      <c r="H521" s="18"/>
      <c r="I521" s="18"/>
      <c r="J521" s="18"/>
      <c r="K521" s="18"/>
      <c r="L521" s="88">
        <f>SUM(F521:K521)</f>
        <v>20660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22669</v>
      </c>
      <c r="G523" s="18">
        <v>9068</v>
      </c>
      <c r="H523" s="18"/>
      <c r="I523" s="18"/>
      <c r="J523" s="18"/>
      <c r="K523" s="18"/>
      <c r="L523" s="88">
        <f>SUM(F523:K523)</f>
        <v>31737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37426</v>
      </c>
      <c r="G524" s="89">
        <f t="shared" ref="G524:L524" si="37">SUM(G521:G523)</f>
        <v>14971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52397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22401</v>
      </c>
      <c r="G531" s="18">
        <v>10957</v>
      </c>
      <c r="H531" s="18">
        <v>39227</v>
      </c>
      <c r="I531" s="18">
        <v>2942</v>
      </c>
      <c r="J531" s="18"/>
      <c r="K531" s="18"/>
      <c r="L531" s="88">
        <f>SUM(F531:K531)</f>
        <v>75527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6879</v>
      </c>
      <c r="G532" s="18">
        <v>3365</v>
      </c>
      <c r="H532" s="18">
        <v>12490</v>
      </c>
      <c r="I532" s="18">
        <v>904</v>
      </c>
      <c r="J532" s="18"/>
      <c r="K532" s="18"/>
      <c r="L532" s="88">
        <f>SUM(F532:K532)</f>
        <v>23638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17032</v>
      </c>
      <c r="G533" s="18">
        <v>8330</v>
      </c>
      <c r="H533" s="18">
        <v>108598</v>
      </c>
      <c r="I533" s="18">
        <v>2237</v>
      </c>
      <c r="J533" s="18"/>
      <c r="K533" s="18"/>
      <c r="L533" s="88">
        <f>SUM(F533:K533)</f>
        <v>136197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46312</v>
      </c>
      <c r="G534" s="194">
        <f t="shared" ref="G534:L534" si="39">SUM(G531:G533)</f>
        <v>22652</v>
      </c>
      <c r="H534" s="194">
        <f t="shared" si="39"/>
        <v>160315</v>
      </c>
      <c r="I534" s="194">
        <f t="shared" si="39"/>
        <v>6083</v>
      </c>
      <c r="J534" s="194">
        <f t="shared" si="39"/>
        <v>0</v>
      </c>
      <c r="K534" s="194">
        <f t="shared" si="39"/>
        <v>0</v>
      </c>
      <c r="L534" s="194">
        <f t="shared" si="39"/>
        <v>235362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1825143</v>
      </c>
      <c r="G535" s="89">
        <f t="shared" ref="G535:L535" si="40">G514+G519+G524+G529+G534</f>
        <v>782255.15</v>
      </c>
      <c r="H535" s="89">
        <f t="shared" si="40"/>
        <v>1502782.07</v>
      </c>
      <c r="I535" s="89">
        <f t="shared" si="40"/>
        <v>30400</v>
      </c>
      <c r="J535" s="89">
        <f t="shared" si="40"/>
        <v>45429</v>
      </c>
      <c r="K535" s="89">
        <f t="shared" si="40"/>
        <v>1997</v>
      </c>
      <c r="L535" s="89">
        <f t="shared" si="40"/>
        <v>4188006.2199999997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1358366.95</v>
      </c>
      <c r="G539" s="87">
        <f>L516</f>
        <v>598424</v>
      </c>
      <c r="H539" s="87">
        <f>L521</f>
        <v>20660</v>
      </c>
      <c r="I539" s="87">
        <f>L526</f>
        <v>0</v>
      </c>
      <c r="J539" s="87">
        <f>L531</f>
        <v>75527</v>
      </c>
      <c r="K539" s="87">
        <f>SUM(F539:J539)</f>
        <v>2052977.95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470409.07</v>
      </c>
      <c r="G540" s="87">
        <f>L517</f>
        <v>34366</v>
      </c>
      <c r="H540" s="87">
        <f>L522</f>
        <v>0</v>
      </c>
      <c r="I540" s="87">
        <f>L527</f>
        <v>0</v>
      </c>
      <c r="J540" s="87">
        <f>L532</f>
        <v>23638</v>
      </c>
      <c r="K540" s="87">
        <f>SUM(F540:J540)</f>
        <v>528413.07000000007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1389709.2</v>
      </c>
      <c r="G541" s="87">
        <f>L518</f>
        <v>48972</v>
      </c>
      <c r="H541" s="87">
        <f>L523</f>
        <v>31737</v>
      </c>
      <c r="I541" s="87">
        <f>L528</f>
        <v>0</v>
      </c>
      <c r="J541" s="87">
        <f>L533</f>
        <v>136197</v>
      </c>
      <c r="K541" s="87">
        <f>SUM(F541:J541)</f>
        <v>1606615.2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3218485.2199999997</v>
      </c>
      <c r="G542" s="89">
        <f t="shared" si="41"/>
        <v>681762</v>
      </c>
      <c r="H542" s="89">
        <f t="shared" si="41"/>
        <v>52397</v>
      </c>
      <c r="I542" s="89">
        <f t="shared" si="41"/>
        <v>0</v>
      </c>
      <c r="J542" s="89">
        <f t="shared" si="41"/>
        <v>235362</v>
      </c>
      <c r="K542" s="89">
        <f t="shared" si="41"/>
        <v>4188006.2199999997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10459</v>
      </c>
      <c r="G552" s="18">
        <v>838</v>
      </c>
      <c r="H552" s="18"/>
      <c r="I552" s="18"/>
      <c r="J552" s="18"/>
      <c r="K552" s="18"/>
      <c r="L552" s="88">
        <f>SUM(F552:K552)</f>
        <v>11297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10459</v>
      </c>
      <c r="G554" s="18">
        <v>838</v>
      </c>
      <c r="H554" s="18"/>
      <c r="I554" s="18"/>
      <c r="J554" s="18"/>
      <c r="K554" s="18"/>
      <c r="L554" s="88">
        <f>SUM(F554:K554)</f>
        <v>11297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20918</v>
      </c>
      <c r="G555" s="89">
        <f t="shared" si="43"/>
        <v>1676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22594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20918</v>
      </c>
      <c r="G561" s="89">
        <f t="shared" ref="G561:L561" si="45">G550+G555+G560</f>
        <v>1676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22594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8691</v>
      </c>
      <c r="I568" s="87">
        <f t="shared" si="46"/>
        <v>8691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109701</v>
      </c>
      <c r="G569" s="18">
        <v>912</v>
      </c>
      <c r="H569" s="18">
        <v>32521</v>
      </c>
      <c r="I569" s="87">
        <f t="shared" si="46"/>
        <v>143134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>
        <f>63157-3605.93</f>
        <v>59551.07</v>
      </c>
      <c r="H570" s="18"/>
      <c r="I570" s="87">
        <f t="shared" si="46"/>
        <v>59551.07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>
        <v>93647</v>
      </c>
      <c r="H572" s="18">
        <v>610830</v>
      </c>
      <c r="I572" s="87">
        <f t="shared" si="46"/>
        <v>704477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15306</v>
      </c>
      <c r="I574" s="87">
        <f t="shared" si="46"/>
        <v>15306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86581</v>
      </c>
      <c r="I581" s="18">
        <v>26107</v>
      </c>
      <c r="J581" s="18">
        <v>65071</v>
      </c>
      <c r="K581" s="104">
        <f t="shared" ref="K581:K587" si="47">SUM(H581:J581)</f>
        <v>177759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75527</v>
      </c>
      <c r="I582" s="18">
        <v>23638</v>
      </c>
      <c r="J582" s="18">
        <v>136197</v>
      </c>
      <c r="K582" s="104">
        <f t="shared" si="47"/>
        <v>235362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1751</v>
      </c>
      <c r="K583" s="104">
        <f t="shared" si="47"/>
        <v>1751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2929</v>
      </c>
      <c r="J584" s="18">
        <v>12455</v>
      </c>
      <c r="K584" s="104">
        <f t="shared" si="47"/>
        <v>15384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3650</v>
      </c>
      <c r="I585" s="18">
        <v>1455</v>
      </c>
      <c r="J585" s="18">
        <v>2103</v>
      </c>
      <c r="K585" s="104">
        <f t="shared" si="47"/>
        <v>7208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165758</v>
      </c>
      <c r="I588" s="108">
        <f>SUM(I581:I587)</f>
        <v>54129</v>
      </c>
      <c r="J588" s="108">
        <f>SUM(J581:J587)</f>
        <v>217577</v>
      </c>
      <c r="K588" s="108">
        <f>SUM(K581:K587)</f>
        <v>437464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21255.279999999999</v>
      </c>
      <c r="I594" s="18">
        <v>63008.92</v>
      </c>
      <c r="J594" s="18">
        <v>133934.66</v>
      </c>
      <c r="K594" s="104">
        <f>SUM(H594:J594)</f>
        <v>218198.86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21255.279999999999</v>
      </c>
      <c r="I595" s="108">
        <f>SUM(I592:I594)</f>
        <v>63008.92</v>
      </c>
      <c r="J595" s="108">
        <f>SUM(J592:J594)</f>
        <v>133934.66</v>
      </c>
      <c r="K595" s="108">
        <f>SUM(K592:K594)</f>
        <v>218198.86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1233</v>
      </c>
      <c r="G601" s="18">
        <v>376</v>
      </c>
      <c r="H601" s="18"/>
      <c r="I601" s="18"/>
      <c r="J601" s="18"/>
      <c r="K601" s="18"/>
      <c r="L601" s="88">
        <f>SUM(F601:K601)</f>
        <v>1609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6728</v>
      </c>
      <c r="G603" s="18">
        <v>896</v>
      </c>
      <c r="H603" s="18"/>
      <c r="I603" s="18"/>
      <c r="J603" s="18"/>
      <c r="K603" s="18"/>
      <c r="L603" s="88">
        <f>SUM(F603:K603)</f>
        <v>7624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7961</v>
      </c>
      <c r="G604" s="108">
        <f t="shared" si="48"/>
        <v>1272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9233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1636392.11</v>
      </c>
      <c r="H607" s="109">
        <f>SUM(F44)</f>
        <v>1636392.1099999999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78135.850000000006</v>
      </c>
      <c r="H608" s="109">
        <f>SUM(G44)</f>
        <v>78135.850000000006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11542.75</v>
      </c>
      <c r="H609" s="109">
        <f>SUM(H44)</f>
        <v>11542.75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346571.34</v>
      </c>
      <c r="H611" s="109">
        <f>SUM(J44)</f>
        <v>346571.34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1608751.0299999998</v>
      </c>
      <c r="H612" s="109">
        <f>F466</f>
        <v>1608751.0299999993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13832.8</v>
      </c>
      <c r="H613" s="109">
        <f>G466</f>
        <v>13832.800000000047</v>
      </c>
      <c r="I613" s="121" t="s">
        <v>108</v>
      </c>
      <c r="J613" s="109">
        <f t="shared" si="49"/>
        <v>-4.7293724492192268E-11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346571.34</v>
      </c>
      <c r="H616" s="109">
        <f>J466</f>
        <v>346571.33999999997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15534860.67</v>
      </c>
      <c r="H617" s="104">
        <f>SUM(F458)</f>
        <v>15534860.67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461050.81999999995</v>
      </c>
      <c r="H618" s="104">
        <f>SUM(G458)</f>
        <v>461050.82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1402193.66</v>
      </c>
      <c r="H619" s="104">
        <f>SUM(H458)</f>
        <v>1402193.66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125745.29</v>
      </c>
      <c r="H621" s="104">
        <f>SUM(J458)</f>
        <v>125745.29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14726462.49</v>
      </c>
      <c r="H622" s="104">
        <f>SUM(F462)</f>
        <v>14726462.49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1402193.66</v>
      </c>
      <c r="H623" s="104">
        <f>SUM(H462)</f>
        <v>1402193.66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36775.869999999995</v>
      </c>
      <c r="H624" s="104">
        <f>I361</f>
        <v>36775.870000000003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454248.47</v>
      </c>
      <c r="H625" s="104">
        <f>SUM(G462)</f>
        <v>454248.47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125745.29000000001</v>
      </c>
      <c r="H627" s="164">
        <f>SUM(J458)</f>
        <v>125745.29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346571.34</v>
      </c>
      <c r="H629" s="104">
        <f>SUM(F451)</f>
        <v>346571.34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346571.34</v>
      </c>
      <c r="H632" s="104">
        <f>SUM(I451)</f>
        <v>346571.34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5745.29</v>
      </c>
      <c r="H634" s="104">
        <f>H400</f>
        <v>5745.29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120000</v>
      </c>
      <c r="H635" s="104">
        <f>G400</f>
        <v>120000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125745.29</v>
      </c>
      <c r="H636" s="104">
        <f>L400</f>
        <v>125745.29000000001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437464</v>
      </c>
      <c r="H637" s="104">
        <f>L200+L218+L236</f>
        <v>437464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218198.86</v>
      </c>
      <c r="H638" s="104">
        <f>(J249+J330)-(J247+J328)</f>
        <v>218198.86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165758</v>
      </c>
      <c r="H639" s="104">
        <f>H588</f>
        <v>165758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54129</v>
      </c>
      <c r="H640" s="104">
        <f>I588</f>
        <v>54129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217577</v>
      </c>
      <c r="H641" s="104">
        <f>J588</f>
        <v>217577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15200</v>
      </c>
      <c r="H642" s="104">
        <f>K255+K337</f>
        <v>15200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120000</v>
      </c>
      <c r="H645" s="104">
        <f>K258+K339</f>
        <v>120000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6581424.7699456532</v>
      </c>
      <c r="G650" s="19">
        <f>(L221+L301+L351)</f>
        <v>2171620.9493840584</v>
      </c>
      <c r="H650" s="19">
        <f>(L239+L320+L352)</f>
        <v>6376625.2706702901</v>
      </c>
      <c r="I650" s="19">
        <f>SUM(F650:H650)</f>
        <v>15129670.990000002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84097.923532608693</v>
      </c>
      <c r="G651" s="19">
        <f>(L351/IF(SUM(L350:L352)=0,1,SUM(L350:L352))*(SUM(G89:G102)))</f>
        <v>25827.82670289855</v>
      </c>
      <c r="H651" s="19">
        <f>(L352/IF(SUM(L350:L352)=0,1,SUM(L350:L352))*(SUM(G89:G102)))</f>
        <v>63939.619764492752</v>
      </c>
      <c r="I651" s="19">
        <f>SUM(F651:H651)</f>
        <v>173865.37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165758</v>
      </c>
      <c r="G652" s="19">
        <f>(L218+L298)-(J218+J298)</f>
        <v>54129</v>
      </c>
      <c r="H652" s="19">
        <f>(L236+L317)-(J236+J317)</f>
        <v>217577</v>
      </c>
      <c r="I652" s="19">
        <f>SUM(F652:H652)</f>
        <v>437464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132565.28</v>
      </c>
      <c r="G653" s="200">
        <f>SUM(G565:G577)+SUM(I592:I594)+L602</f>
        <v>217118.99</v>
      </c>
      <c r="H653" s="200">
        <f>SUM(H565:H577)+SUM(J592:J594)+L603</f>
        <v>808906.66</v>
      </c>
      <c r="I653" s="19">
        <f>SUM(F653:H653)</f>
        <v>1158590.9300000002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6199003.5664130449</v>
      </c>
      <c r="G654" s="19">
        <f>G650-SUM(G651:G653)</f>
        <v>1874545.1326811598</v>
      </c>
      <c r="H654" s="19">
        <f>H650-SUM(H651:H653)</f>
        <v>5286201.9909057971</v>
      </c>
      <c r="I654" s="19">
        <f>I650-SUM(I651:I653)</f>
        <v>13359750.690000001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522.51</v>
      </c>
      <c r="G655" s="249">
        <v>158.01</v>
      </c>
      <c r="H655" s="249">
        <v>389.06</v>
      </c>
      <c r="I655" s="19">
        <f>SUM(F655:H655)</f>
        <v>1069.58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11863.89</v>
      </c>
      <c r="G657" s="19">
        <f>ROUND(G654/G655,2)</f>
        <v>11863.46</v>
      </c>
      <c r="H657" s="19">
        <f>ROUND(H654/H655,2)</f>
        <v>13587.11</v>
      </c>
      <c r="I657" s="19">
        <f>ROUND(I654/I655,2)</f>
        <v>12490.65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7.37</v>
      </c>
      <c r="I660" s="19">
        <f>SUM(F660:H660)</f>
        <v>7.37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11863.89</v>
      </c>
      <c r="G662" s="19">
        <f>ROUND((G654+G659)/(G655+G660),2)</f>
        <v>11863.46</v>
      </c>
      <c r="H662" s="19">
        <f>ROUND((H654+H659)/(H655+H660),2)</f>
        <v>13334.52</v>
      </c>
      <c r="I662" s="19">
        <f>ROUND((I654+I659)/(I655+I660),2)</f>
        <v>12405.17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9EB2-EB24-4E78-9294-551828E4E042}">
  <sheetPr>
    <tabColor indexed="20"/>
  </sheetPr>
  <dimension ref="A1:C52"/>
  <sheetViews>
    <sheetView topLeftCell="A24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Newport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3313401.11</v>
      </c>
      <c r="C9" s="230">
        <f>'DOE25'!G189+'DOE25'!G207+'DOE25'!G225+'DOE25'!G268+'DOE25'!G287+'DOE25'!G306</f>
        <v>1528130.37</v>
      </c>
    </row>
    <row r="10" spans="1:3" x14ac:dyDescent="0.2">
      <c r="A10" t="s">
        <v>813</v>
      </c>
      <c r="B10" s="241">
        <v>3147544.11</v>
      </c>
      <c r="C10" s="241">
        <v>1451637.6332733289</v>
      </c>
    </row>
    <row r="11" spans="1:3" x14ac:dyDescent="0.2">
      <c r="A11" t="s">
        <v>814</v>
      </c>
      <c r="B11" s="241">
        <v>87787</v>
      </c>
      <c r="C11" s="241">
        <v>40487.093574731742</v>
      </c>
    </row>
    <row r="12" spans="1:3" x14ac:dyDescent="0.2">
      <c r="A12" t="s">
        <v>815</v>
      </c>
      <c r="B12" s="241">
        <v>78070</v>
      </c>
      <c r="C12" s="241">
        <v>36005.643151939432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3313401.11</v>
      </c>
      <c r="C13" s="232">
        <f>SUM(C10:C12)</f>
        <v>1528130.37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1768832.64</v>
      </c>
      <c r="C18" s="230">
        <f>'DOE25'!G190+'DOE25'!G208+'DOE25'!G226+'DOE25'!G269+'DOE25'!G288+'DOE25'!G307</f>
        <v>755914.6</v>
      </c>
    </row>
    <row r="19" spans="1:3" x14ac:dyDescent="0.2">
      <c r="A19" t="s">
        <v>813</v>
      </c>
      <c r="B19" s="241">
        <v>727746</v>
      </c>
      <c r="C19" s="241">
        <v>311003.90000000002</v>
      </c>
    </row>
    <row r="20" spans="1:3" x14ac:dyDescent="0.2">
      <c r="A20" t="s">
        <v>814</v>
      </c>
      <c r="B20" s="241">
        <v>563543</v>
      </c>
      <c r="C20" s="241">
        <v>240831.4</v>
      </c>
    </row>
    <row r="21" spans="1:3" x14ac:dyDescent="0.2">
      <c r="A21" t="s">
        <v>815</v>
      </c>
      <c r="B21" s="241">
        <v>477543.64</v>
      </c>
      <c r="C21" s="241">
        <v>204079.3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1768832.6400000001</v>
      </c>
      <c r="C22" s="232">
        <f>SUM(C19:C21)</f>
        <v>755914.60000000009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371414</v>
      </c>
      <c r="C27" s="235">
        <f>'DOE25'!G191+'DOE25'!G209+'DOE25'!G227+'DOE25'!G270+'DOE25'!G289+'DOE25'!G308</f>
        <v>168906</v>
      </c>
    </row>
    <row r="28" spans="1:3" x14ac:dyDescent="0.2">
      <c r="A28" t="s">
        <v>813</v>
      </c>
      <c r="B28" s="241">
        <v>371414</v>
      </c>
      <c r="C28" s="241">
        <v>168906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371414</v>
      </c>
      <c r="C31" s="232">
        <f>SUM(C28:C30)</f>
        <v>168906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165937</v>
      </c>
      <c r="C36" s="236">
        <f>'DOE25'!G192+'DOE25'!G210+'DOE25'!G228+'DOE25'!G271+'DOE25'!G290+'DOE25'!G309</f>
        <v>31925.71</v>
      </c>
    </row>
    <row r="37" spans="1:3" x14ac:dyDescent="0.2">
      <c r="A37" t="s">
        <v>813</v>
      </c>
      <c r="B37" s="241">
        <v>66968</v>
      </c>
      <c r="C37" s="241">
        <v>12884.41</v>
      </c>
    </row>
    <row r="38" spans="1:3" x14ac:dyDescent="0.2">
      <c r="A38" t="s">
        <v>814</v>
      </c>
      <c r="B38" s="241">
        <v>770</v>
      </c>
      <c r="C38" s="241">
        <v>148.15</v>
      </c>
    </row>
    <row r="39" spans="1:3" x14ac:dyDescent="0.2">
      <c r="A39" t="s">
        <v>815</v>
      </c>
      <c r="B39" s="241">
        <v>98199</v>
      </c>
      <c r="C39" s="241">
        <v>18893.150000000001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165937</v>
      </c>
      <c r="C40" s="232">
        <f>SUM(C37:C39)</f>
        <v>31925.71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B765-6A95-44D0-9466-73EC9B2D6E8F}">
  <sheetPr>
    <tabColor indexed="11"/>
  </sheetPr>
  <dimension ref="A1:I51"/>
  <sheetViews>
    <sheetView workbookViewId="0">
      <pane ySplit="4" topLeftCell="A5" activePane="bottomLeft" state="frozen"/>
      <selection pane="bottomLeft" activeCell="J27" sqref="J2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Newport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9192912.0700000003</v>
      </c>
      <c r="D5" s="20">
        <f>SUM('DOE25'!L189:L192)+SUM('DOE25'!L207:L210)+SUM('DOE25'!L225:L228)-F5-G5</f>
        <v>9160329.0700000003</v>
      </c>
      <c r="E5" s="244"/>
      <c r="F5" s="256">
        <f>SUM('DOE25'!J189:J192)+SUM('DOE25'!J207:J210)+SUM('DOE25'!J225:J228)</f>
        <v>22446</v>
      </c>
      <c r="G5" s="53">
        <f>SUM('DOE25'!K189:K192)+SUM('DOE25'!K207:K210)+SUM('DOE25'!K225:K228)</f>
        <v>10137</v>
      </c>
      <c r="H5" s="260"/>
    </row>
    <row r="6" spans="1:9" x14ac:dyDescent="0.2">
      <c r="A6" s="32">
        <v>2100</v>
      </c>
      <c r="B6" t="s">
        <v>835</v>
      </c>
      <c r="C6" s="246">
        <f t="shared" si="0"/>
        <v>673326</v>
      </c>
      <c r="D6" s="20">
        <f>'DOE25'!L194+'DOE25'!L212+'DOE25'!L230-F6-G6</f>
        <v>673206</v>
      </c>
      <c r="E6" s="244"/>
      <c r="F6" s="256">
        <f>'DOE25'!J194+'DOE25'!J212+'DOE25'!J230</f>
        <v>0</v>
      </c>
      <c r="G6" s="53">
        <f>'DOE25'!K194+'DOE25'!K212+'DOE25'!K230</f>
        <v>120</v>
      </c>
      <c r="H6" s="260"/>
    </row>
    <row r="7" spans="1:9" x14ac:dyDescent="0.2">
      <c r="A7" s="32">
        <v>2200</v>
      </c>
      <c r="B7" t="s">
        <v>868</v>
      </c>
      <c r="C7" s="246">
        <f t="shared" si="0"/>
        <v>782539</v>
      </c>
      <c r="D7" s="20">
        <f>'DOE25'!L195+'DOE25'!L213+'DOE25'!L231-F7-G7</f>
        <v>678554</v>
      </c>
      <c r="E7" s="244"/>
      <c r="F7" s="256">
        <f>'DOE25'!J195+'DOE25'!J213+'DOE25'!J231</f>
        <v>102002</v>
      </c>
      <c r="G7" s="53">
        <f>'DOE25'!K195+'DOE25'!K213+'DOE25'!K231</f>
        <v>1983</v>
      </c>
      <c r="H7" s="260"/>
    </row>
    <row r="8" spans="1:9" x14ac:dyDescent="0.2">
      <c r="A8" s="32">
        <v>2300</v>
      </c>
      <c r="B8" t="s">
        <v>836</v>
      </c>
      <c r="C8" s="246">
        <f t="shared" si="0"/>
        <v>387310.14</v>
      </c>
      <c r="D8" s="244"/>
      <c r="E8" s="20">
        <f>'DOE25'!L196+'DOE25'!L214+'DOE25'!L232-F8-G8-D9-D11</f>
        <v>382679.14</v>
      </c>
      <c r="F8" s="256">
        <f>'DOE25'!J196+'DOE25'!J214+'DOE25'!J232</f>
        <v>0</v>
      </c>
      <c r="G8" s="53">
        <f>'DOE25'!K196+'DOE25'!K214+'DOE25'!K232</f>
        <v>4631</v>
      </c>
      <c r="H8" s="260"/>
    </row>
    <row r="9" spans="1:9" x14ac:dyDescent="0.2">
      <c r="A9" s="32">
        <v>2310</v>
      </c>
      <c r="B9" t="s">
        <v>852</v>
      </c>
      <c r="C9" s="246">
        <f t="shared" si="0"/>
        <v>70133</v>
      </c>
      <c r="D9" s="245">
        <v>70133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32000</v>
      </c>
      <c r="D10" s="244"/>
      <c r="E10" s="245">
        <v>32000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144675.9</v>
      </c>
      <c r="D11" s="245">
        <f>160751*0.9</f>
        <v>144675.9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877697.38</v>
      </c>
      <c r="D12" s="20">
        <f>'DOE25'!L197+'DOE25'!L215+'DOE25'!L233-F12-G12</f>
        <v>865352.38</v>
      </c>
      <c r="E12" s="244"/>
      <c r="F12" s="256">
        <f>'DOE25'!J197+'DOE25'!J215+'DOE25'!J233</f>
        <v>5967</v>
      </c>
      <c r="G12" s="53">
        <f>'DOE25'!K197+'DOE25'!K215+'DOE25'!K233</f>
        <v>6378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1017480</v>
      </c>
      <c r="D14" s="20">
        <f>'DOE25'!L199+'DOE25'!L217+'DOE25'!L235-F14-G14</f>
        <v>1011297</v>
      </c>
      <c r="E14" s="244"/>
      <c r="F14" s="256">
        <f>'DOE25'!J199+'DOE25'!J217+'DOE25'!J235</f>
        <v>6183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437464</v>
      </c>
      <c r="D15" s="20">
        <f>'DOE25'!L200+'DOE25'!L218+'DOE25'!L236-F15-G15</f>
        <v>436944</v>
      </c>
      <c r="E15" s="244"/>
      <c r="F15" s="256">
        <f>'DOE25'!J200+'DOE25'!J218+'DOE25'!J236</f>
        <v>0</v>
      </c>
      <c r="G15" s="53">
        <f>'DOE25'!K200+'DOE25'!K218+'DOE25'!K236</f>
        <v>520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1007725</v>
      </c>
      <c r="D25" s="244"/>
      <c r="E25" s="244"/>
      <c r="F25" s="259"/>
      <c r="G25" s="257"/>
      <c r="H25" s="258">
        <f>'DOE25'!L252+'DOE25'!L253+'DOE25'!L333+'DOE25'!L334</f>
        <v>1007725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454248.47</v>
      </c>
      <c r="D29" s="20">
        <f>'DOE25'!L350+'DOE25'!L351+'DOE25'!L352-'DOE25'!I359-F29-G29</f>
        <v>434001.55</v>
      </c>
      <c r="E29" s="244"/>
      <c r="F29" s="256">
        <f>'DOE25'!J350+'DOE25'!J351+'DOE25'!J352</f>
        <v>15781</v>
      </c>
      <c r="G29" s="53">
        <f>'DOE25'!K350+'DOE25'!K351+'DOE25'!K352</f>
        <v>4465.92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1402193.6599999997</v>
      </c>
      <c r="D31" s="20">
        <f>'DOE25'!L282+'DOE25'!L301+'DOE25'!L320+'DOE25'!L325+'DOE25'!L326+'DOE25'!L327-F31-G31</f>
        <v>1265746.2799999998</v>
      </c>
      <c r="E31" s="244"/>
      <c r="F31" s="256">
        <f>'DOE25'!J282+'DOE25'!J301+'DOE25'!J320+'DOE25'!J325+'DOE25'!J326+'DOE25'!J327</f>
        <v>81600.859999999986</v>
      </c>
      <c r="G31" s="53">
        <f>'DOE25'!K282+'DOE25'!K301+'DOE25'!K320+'DOE25'!K325+'DOE25'!K326+'DOE25'!K327</f>
        <v>54846.520000000004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14740239.180000002</v>
      </c>
      <c r="E33" s="247">
        <f>SUM(E5:E31)</f>
        <v>414679.14</v>
      </c>
      <c r="F33" s="247">
        <f>SUM(F5:F31)</f>
        <v>233979.86</v>
      </c>
      <c r="G33" s="247">
        <f>SUM(G5:G31)</f>
        <v>83081.440000000002</v>
      </c>
      <c r="H33" s="247">
        <f>SUM(H5:H31)</f>
        <v>1007725</v>
      </c>
    </row>
    <row r="35" spans="2:8" ht="12" thickBot="1" x14ac:dyDescent="0.25">
      <c r="B35" s="254" t="s">
        <v>881</v>
      </c>
      <c r="D35" s="255">
        <f>E33</f>
        <v>414679.14</v>
      </c>
      <c r="E35" s="250"/>
    </row>
    <row r="36" spans="2:8" ht="12" thickTop="1" x14ac:dyDescent="0.2">
      <c r="B36" t="s">
        <v>849</v>
      </c>
      <c r="D36" s="20">
        <f>D33</f>
        <v>14740239.180000002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1537-2D49-499E-AFB1-060AFF24376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Newport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1273895.51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346571.34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240094.88</v>
      </c>
      <c r="D12" s="95">
        <f>'DOE25'!G12</f>
        <v>49071.53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110044.37</v>
      </c>
      <c r="D13" s="95">
        <f>'DOE25'!G13</f>
        <v>14490.46</v>
      </c>
      <c r="E13" s="95">
        <f>'DOE25'!H13</f>
        <v>11542.75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4024.96</v>
      </c>
      <c r="D14" s="95">
        <f>'DOE25'!G14</f>
        <v>6268.59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8305.27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8332.39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1636392.11</v>
      </c>
      <c r="D19" s="41">
        <f>SUM(D9:D18)</f>
        <v>78135.850000000006</v>
      </c>
      <c r="E19" s="41">
        <f>SUM(E9:E18)</f>
        <v>11542.75</v>
      </c>
      <c r="F19" s="41">
        <f>SUM(F9:F18)</f>
        <v>0</v>
      </c>
      <c r="G19" s="41">
        <f>SUM(G9:G18)</f>
        <v>346571.34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1811.12</v>
      </c>
      <c r="D23" s="95">
        <f>'DOE25'!G24</f>
        <v>0</v>
      </c>
      <c r="E23" s="95">
        <f>'DOE25'!H24</f>
        <v>4020.42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22953.57</v>
      </c>
      <c r="D24" s="95">
        <f>'DOE25'!G25</f>
        <v>60380.480000000003</v>
      </c>
      <c r="E24" s="95">
        <f>'DOE25'!H25</f>
        <v>5861.68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2876.39</v>
      </c>
      <c r="D29" s="95">
        <f>'DOE25'!G30</f>
        <v>0</v>
      </c>
      <c r="E29" s="95">
        <f>'DOE25'!H30</f>
        <v>808.15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3922.57</v>
      </c>
      <c r="E30" s="95">
        <f>'DOE25'!H31</f>
        <v>852.5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27641.079999999998</v>
      </c>
      <c r="D32" s="41">
        <f>SUM(D22:D31)</f>
        <v>64303.05</v>
      </c>
      <c r="E32" s="41">
        <f>SUM(E22:E31)</f>
        <v>11542.75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8305.27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1139568.0299999998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300000</v>
      </c>
      <c r="D40" s="95">
        <f>'DOE25'!G41</f>
        <v>5527.53</v>
      </c>
      <c r="E40" s="95">
        <f>'DOE25'!H41</f>
        <v>0</v>
      </c>
      <c r="F40" s="95">
        <f>'DOE25'!I41</f>
        <v>0</v>
      </c>
      <c r="G40" s="95">
        <f>'DOE25'!J41</f>
        <v>346571.34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169183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1608751.0299999998</v>
      </c>
      <c r="D42" s="41">
        <f>SUM(D34:D41)</f>
        <v>13832.8</v>
      </c>
      <c r="E42" s="41">
        <f>SUM(E34:E41)</f>
        <v>0</v>
      </c>
      <c r="F42" s="41">
        <f>SUM(F34:F41)</f>
        <v>0</v>
      </c>
      <c r="G42" s="41">
        <f>SUM(G34:G41)</f>
        <v>346571.34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1636392.1099999999</v>
      </c>
      <c r="D43" s="41">
        <f>D42+D32</f>
        <v>78135.850000000006</v>
      </c>
      <c r="E43" s="41">
        <f>E42+E32</f>
        <v>11542.75</v>
      </c>
      <c r="F43" s="41">
        <f>F42+F32</f>
        <v>0</v>
      </c>
      <c r="G43" s="41">
        <f>G42+G32</f>
        <v>346571.34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5077227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1593777.33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30883.7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2148.59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5745.29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142396.88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82556.56</v>
      </c>
      <c r="D53" s="95">
        <f>SUM('DOE25'!G90:G102)</f>
        <v>31468.49</v>
      </c>
      <c r="E53" s="95">
        <f>SUM('DOE25'!H90:H102)</f>
        <v>8193.89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1709366.1800000002</v>
      </c>
      <c r="D54" s="130">
        <f>SUM(D49:D53)</f>
        <v>173865.37</v>
      </c>
      <c r="E54" s="130">
        <f>SUM(E49:E53)</f>
        <v>8193.89</v>
      </c>
      <c r="F54" s="130">
        <f>SUM(F49:F53)</f>
        <v>0</v>
      </c>
      <c r="G54" s="130">
        <f>SUM(G49:G53)</f>
        <v>5745.29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6786593.1799999997</v>
      </c>
      <c r="D55" s="22">
        <f>D48+D54</f>
        <v>173865.37</v>
      </c>
      <c r="E55" s="22">
        <f>E48+E54</f>
        <v>8193.89</v>
      </c>
      <c r="F55" s="22">
        <f>F48+F54</f>
        <v>0</v>
      </c>
      <c r="G55" s="22">
        <f>G48+G54</f>
        <v>5745.29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4996433.71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1074591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1916976.29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7988001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321772.40000000002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222005.42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35228.089999999997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12150</v>
      </c>
      <c r="D69" s="95">
        <f>SUM('DOE25'!G123:G127)</f>
        <v>4632.0200000000004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591155.91</v>
      </c>
      <c r="D70" s="130">
        <f>SUM(D64:D69)</f>
        <v>4632.0200000000004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8579156.9100000001</v>
      </c>
      <c r="D73" s="130">
        <f>SUM(D71:D72)+D70+D62</f>
        <v>4632.0200000000004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169110.58</v>
      </c>
      <c r="D80" s="95">
        <f>SUM('DOE25'!G145:G153)</f>
        <v>257631.93</v>
      </c>
      <c r="E80" s="95">
        <f>SUM('DOE25'!H145:H153)</f>
        <v>1393999.77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9721.5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169110.58</v>
      </c>
      <c r="D83" s="131">
        <f>SUM(D77:D82)</f>
        <v>267353.43</v>
      </c>
      <c r="E83" s="131">
        <f>SUM(E77:E82)</f>
        <v>1393999.77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15200</v>
      </c>
      <c r="E88" s="95">
        <f>'DOE25'!H171</f>
        <v>0</v>
      </c>
      <c r="F88" s="95">
        <f>'DOE25'!I171</f>
        <v>0</v>
      </c>
      <c r="G88" s="95">
        <f>'DOE25'!J171</f>
        <v>120000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15200</v>
      </c>
      <c r="E95" s="86">
        <f>SUM(E85:E94)</f>
        <v>0</v>
      </c>
      <c r="F95" s="86">
        <f>SUM(F85:F94)</f>
        <v>0</v>
      </c>
      <c r="G95" s="86">
        <f>SUM(G85:G94)</f>
        <v>120000</v>
      </c>
    </row>
    <row r="96" spans="1:7" ht="12.75" thickTop="1" thickBot="1" x14ac:dyDescent="0.25">
      <c r="A96" s="33" t="s">
        <v>797</v>
      </c>
      <c r="C96" s="86">
        <f>C55+C73+C83+C95</f>
        <v>15534860.67</v>
      </c>
      <c r="D96" s="86">
        <f>D55+D73+D83+D95</f>
        <v>461050.81999999995</v>
      </c>
      <c r="E96" s="86">
        <f>E55+E73+E83+E95</f>
        <v>1402193.66</v>
      </c>
      <c r="F96" s="86">
        <f>F55+F73+F83+F95</f>
        <v>0</v>
      </c>
      <c r="G96" s="86">
        <f>G55+G73+G95</f>
        <v>125745.29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4719611</v>
      </c>
      <c r="D101" s="24" t="s">
        <v>312</v>
      </c>
      <c r="E101" s="95">
        <f>('DOE25'!L268)+('DOE25'!L287)+('DOE25'!L306)</f>
        <v>430267.26999999996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3599581.07</v>
      </c>
      <c r="D102" s="24" t="s">
        <v>312</v>
      </c>
      <c r="E102" s="95">
        <f>('DOE25'!L269)+('DOE25'!L288)+('DOE25'!L307)</f>
        <v>353063.14999999997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640124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233596</v>
      </c>
      <c r="D104" s="24" t="s">
        <v>312</v>
      </c>
      <c r="E104" s="95">
        <f>+('DOE25'!L271)+('DOE25'!L290)+('DOE25'!L309)</f>
        <v>34570.43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310308.62999999995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9192912.0700000003</v>
      </c>
      <c r="D107" s="86">
        <f>SUM(D101:D106)</f>
        <v>0</v>
      </c>
      <c r="E107" s="86">
        <f>SUM(E101:E106)</f>
        <v>1128209.48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673326</v>
      </c>
      <c r="D110" s="24" t="s">
        <v>312</v>
      </c>
      <c r="E110" s="95">
        <f>+('DOE25'!L273)+('DOE25'!L292)+('DOE25'!L311)</f>
        <v>70183.97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782539</v>
      </c>
      <c r="D111" s="24" t="s">
        <v>312</v>
      </c>
      <c r="E111" s="95">
        <f>+('DOE25'!L274)+('DOE25'!L293)+('DOE25'!L312)</f>
        <v>147144.53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602119.04</v>
      </c>
      <c r="D112" s="24" t="s">
        <v>312</v>
      </c>
      <c r="E112" s="95">
        <f>+('DOE25'!L275)+('DOE25'!L294)+('DOE25'!L313)</f>
        <v>39943.369999999995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877697.38</v>
      </c>
      <c r="D113" s="24" t="s">
        <v>312</v>
      </c>
      <c r="E113" s="95">
        <f>+('DOE25'!L276)+('DOE25'!L295)+('DOE25'!L314)</f>
        <v>16712.310000000001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1017480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437464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454248.47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4390625.42</v>
      </c>
      <c r="D120" s="86">
        <f>SUM(D110:D119)</f>
        <v>454248.47</v>
      </c>
      <c r="E120" s="86">
        <f>SUM(E110:E119)</f>
        <v>273984.18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565000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442725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15200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72349.8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53395.49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-5745.2900000000081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1142925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14726462.49</v>
      </c>
      <c r="D137" s="86">
        <f>(D107+D120+D136)</f>
        <v>454248.47</v>
      </c>
      <c r="E137" s="86">
        <f>(E107+E120+E136)</f>
        <v>1402193.66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546800</v>
      </c>
      <c r="C146" s="137">
        <f>'DOE25'!G483</f>
        <v>10156100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3.5</v>
      </c>
      <c r="C147" s="137">
        <f>'DOE25'!G484</f>
        <v>4.57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210000</v>
      </c>
      <c r="C148" s="137">
        <f>'DOE25'!G485</f>
        <v>9650000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9860000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55000</v>
      </c>
      <c r="C150" s="137">
        <f>'DOE25'!G487</f>
        <v>510000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565000</v>
      </c>
    </row>
    <row r="151" spans="1:7" x14ac:dyDescent="0.2">
      <c r="A151" s="22" t="s">
        <v>35</v>
      </c>
      <c r="B151" s="137">
        <f>'DOE25'!F488</f>
        <v>155000</v>
      </c>
      <c r="C151" s="137">
        <f>'DOE25'!G488</f>
        <v>9140000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9295000</v>
      </c>
    </row>
    <row r="152" spans="1:7" x14ac:dyDescent="0.2">
      <c r="A152" s="22" t="s">
        <v>36</v>
      </c>
      <c r="B152" s="137">
        <f>'DOE25'!F489</f>
        <v>9100</v>
      </c>
      <c r="C152" s="137">
        <f>'DOE25'!G489</f>
        <v>3911237.5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3920337.5</v>
      </c>
    </row>
    <row r="153" spans="1:7" x14ac:dyDescent="0.2">
      <c r="A153" s="22" t="s">
        <v>37</v>
      </c>
      <c r="B153" s="137">
        <f>'DOE25'!F490</f>
        <v>164100</v>
      </c>
      <c r="C153" s="137">
        <f>'DOE25'!G490</f>
        <v>13051237.5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13215337.5</v>
      </c>
    </row>
    <row r="154" spans="1:7" x14ac:dyDescent="0.2">
      <c r="A154" s="22" t="s">
        <v>38</v>
      </c>
      <c r="B154" s="137">
        <f>'DOE25'!F491</f>
        <v>55000</v>
      </c>
      <c r="C154" s="137">
        <f>'DOE25'!G491</f>
        <v>510000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565000</v>
      </c>
    </row>
    <row r="155" spans="1:7" x14ac:dyDescent="0.2">
      <c r="A155" s="22" t="s">
        <v>39</v>
      </c>
      <c r="B155" s="137">
        <f>'DOE25'!F492</f>
        <v>5100</v>
      </c>
      <c r="C155" s="137">
        <f>'DOE25'!G492</f>
        <v>415025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420125</v>
      </c>
    </row>
    <row r="156" spans="1:7" x14ac:dyDescent="0.2">
      <c r="A156" s="22" t="s">
        <v>269</v>
      </c>
      <c r="B156" s="137">
        <f>'DOE25'!F493</f>
        <v>60100</v>
      </c>
      <c r="C156" s="137">
        <f>'DOE25'!G493</f>
        <v>925025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985125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2C4F-F667-430D-B88D-1EDA4AEA1902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Newport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11864</v>
      </c>
    </row>
    <row r="5" spans="1:4" x14ac:dyDescent="0.2">
      <c r="B5" t="s">
        <v>735</v>
      </c>
      <c r="C5" s="179">
        <f>IF('DOE25'!G655+'DOE25'!G660=0,0,ROUND('DOE25'!G662,0))</f>
        <v>11863</v>
      </c>
    </row>
    <row r="6" spans="1:4" x14ac:dyDescent="0.2">
      <c r="B6" t="s">
        <v>62</v>
      </c>
      <c r="C6" s="179">
        <f>IF('DOE25'!H655+'DOE25'!H660=0,0,ROUND('DOE25'!H662,0))</f>
        <v>13335</v>
      </c>
    </row>
    <row r="7" spans="1:4" x14ac:dyDescent="0.2">
      <c r="B7" t="s">
        <v>736</v>
      </c>
      <c r="C7" s="179">
        <f>IF('DOE25'!I655+'DOE25'!I660=0,0,ROUND('DOE25'!I662,0))</f>
        <v>12405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5149878</v>
      </c>
      <c r="D10" s="182">
        <f>ROUND((C10/$C$28)*100,1)</f>
        <v>32.799999999999997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3952644</v>
      </c>
      <c r="D11" s="182">
        <f>ROUND((C11/$C$28)*100,1)</f>
        <v>25.2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640124</v>
      </c>
      <c r="D12" s="182">
        <f>ROUND((C12/$C$28)*100,1)</f>
        <v>4.0999999999999996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268166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743510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929684</v>
      </c>
      <c r="D16" s="182">
        <f t="shared" si="0"/>
        <v>5.9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642062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894410</v>
      </c>
      <c r="D18" s="182">
        <f t="shared" si="0"/>
        <v>5.7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1017480</v>
      </c>
      <c r="D20" s="182">
        <f t="shared" si="0"/>
        <v>6.5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437464</v>
      </c>
      <c r="D21" s="182">
        <f t="shared" si="0"/>
        <v>2.8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310309</v>
      </c>
      <c r="D24" s="182">
        <f t="shared" si="0"/>
        <v>2</v>
      </c>
    </row>
    <row r="25" spans="1:4" x14ac:dyDescent="0.2">
      <c r="A25">
        <v>5120</v>
      </c>
      <c r="B25" t="s">
        <v>751</v>
      </c>
      <c r="C25" s="179">
        <f>ROUND('DOE25'!L253+'DOE25'!L334,0)</f>
        <v>442725</v>
      </c>
      <c r="D25" s="182">
        <f t="shared" si="0"/>
        <v>2.8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280382.63</v>
      </c>
      <c r="D27" s="182">
        <f t="shared" si="0"/>
        <v>1.8</v>
      </c>
    </row>
    <row r="28" spans="1:4" x14ac:dyDescent="0.2">
      <c r="B28" s="187" t="s">
        <v>754</v>
      </c>
      <c r="C28" s="180">
        <f>SUM(C10:C27)</f>
        <v>15708838.630000001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15708838.630000001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565000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5077227</v>
      </c>
      <c r="D35" s="182">
        <f t="shared" ref="D35:D40" si="1">ROUND((C35/$C$41)*100,1)</f>
        <v>29.5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1723305.3600000003</v>
      </c>
      <c r="D36" s="182">
        <f t="shared" si="1"/>
        <v>10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6071025</v>
      </c>
      <c r="D37" s="182">
        <f t="shared" si="1"/>
        <v>35.299999999999997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2512764</v>
      </c>
      <c r="D38" s="182">
        <f t="shared" si="1"/>
        <v>14.6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1830464</v>
      </c>
      <c r="D39" s="182">
        <f t="shared" si="1"/>
        <v>10.6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17214785.359999999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662A-5FAA-4B88-B1F6-8F559EAA57FA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Newport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C51:M51"/>
    <mergeCell ref="C43:M43"/>
    <mergeCell ref="P40:Z40"/>
    <mergeCell ref="C42:M42"/>
    <mergeCell ref="DP40:DZ40"/>
    <mergeCell ref="EC40:EM40"/>
    <mergeCell ref="EP40:EZ40"/>
    <mergeCell ref="FP40:FZ40"/>
    <mergeCell ref="C58:M58"/>
    <mergeCell ref="CC40:CM40"/>
    <mergeCell ref="CP40:CZ40"/>
    <mergeCell ref="DC40:DM40"/>
    <mergeCell ref="BC40:BM40"/>
    <mergeCell ref="BP40:BZ40"/>
    <mergeCell ref="FC40:FM40"/>
    <mergeCell ref="FC39:FM39"/>
    <mergeCell ref="FP39:FZ39"/>
    <mergeCell ref="GC39:GM39"/>
    <mergeCell ref="HP39:HZ39"/>
    <mergeCell ref="IC39:IM39"/>
    <mergeCell ref="GP39:GZ39"/>
    <mergeCell ref="HC39:HM39"/>
    <mergeCell ref="IP40:IV40"/>
    <mergeCell ref="GC40:GM40"/>
    <mergeCell ref="GP40:GZ40"/>
    <mergeCell ref="HC40:HM40"/>
    <mergeCell ref="HP40:HZ40"/>
    <mergeCell ref="IC40:IM40"/>
    <mergeCell ref="IP38:IV38"/>
    <mergeCell ref="CC39:CM39"/>
    <mergeCell ref="CP39:CZ39"/>
    <mergeCell ref="IP39:IV39"/>
    <mergeCell ref="GP38:GZ38"/>
    <mergeCell ref="HC38:HM38"/>
    <mergeCell ref="HP38:HZ38"/>
    <mergeCell ref="DP38:DZ38"/>
    <mergeCell ref="EC38:EM38"/>
    <mergeCell ref="DC39:DM39"/>
    <mergeCell ref="AC40:AM40"/>
    <mergeCell ref="BP39:BZ39"/>
    <mergeCell ref="CC32:CM32"/>
    <mergeCell ref="BC38:BM38"/>
    <mergeCell ref="AP40:AZ40"/>
    <mergeCell ref="P39:Z39"/>
    <mergeCell ref="AC39:AM39"/>
    <mergeCell ref="AP39:AZ39"/>
    <mergeCell ref="BP38:BZ38"/>
    <mergeCell ref="GP32:GZ32"/>
    <mergeCell ref="IC38:IM38"/>
    <mergeCell ref="EP38:EZ38"/>
    <mergeCell ref="FC38:FM38"/>
    <mergeCell ref="FP38:FZ38"/>
    <mergeCell ref="GC38:GM38"/>
    <mergeCell ref="EP32:EZ32"/>
    <mergeCell ref="AC32:AM32"/>
    <mergeCell ref="AP32:AZ32"/>
    <mergeCell ref="P38:Z38"/>
    <mergeCell ref="CP38:CZ38"/>
    <mergeCell ref="DP32:DZ32"/>
    <mergeCell ref="EC32:EM32"/>
    <mergeCell ref="BP32:BZ32"/>
    <mergeCell ref="DC32:DM32"/>
    <mergeCell ref="CC38:CM38"/>
    <mergeCell ref="DC38:DM38"/>
    <mergeCell ref="IC31:IM31"/>
    <mergeCell ref="EP31:EZ31"/>
    <mergeCell ref="FC31:FM31"/>
    <mergeCell ref="HP31:HZ31"/>
    <mergeCell ref="GC31:GM31"/>
    <mergeCell ref="GP31:GZ31"/>
    <mergeCell ref="HC31:HM31"/>
    <mergeCell ref="HC32:HM32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HC30:HM30"/>
    <mergeCell ref="BP31:BZ31"/>
    <mergeCell ref="CC31:CM31"/>
    <mergeCell ref="CP31:CZ31"/>
    <mergeCell ref="DC31:DM31"/>
    <mergeCell ref="DP31:DZ31"/>
    <mergeCell ref="EC31:EM31"/>
    <mergeCell ref="DP30:DZ30"/>
    <mergeCell ref="EC30:EM30"/>
    <mergeCell ref="EP30:EZ30"/>
    <mergeCell ref="BC31:BM31"/>
    <mergeCell ref="BC32:BM32"/>
    <mergeCell ref="BC39:BM39"/>
    <mergeCell ref="DP39:DZ39"/>
    <mergeCell ref="EC39:EM39"/>
    <mergeCell ref="EP39:EZ39"/>
    <mergeCell ref="AC38:AM38"/>
    <mergeCell ref="AP38:AZ38"/>
    <mergeCell ref="IP30:IV30"/>
    <mergeCell ref="FC30:FM30"/>
    <mergeCell ref="FP30:FZ30"/>
    <mergeCell ref="GC30:GM30"/>
    <mergeCell ref="GP30:GZ30"/>
    <mergeCell ref="HP30:HZ30"/>
    <mergeCell ref="IC30:IM30"/>
    <mergeCell ref="BC30:BM30"/>
    <mergeCell ref="C41:M41"/>
    <mergeCell ref="C33:M33"/>
    <mergeCell ref="C37:M37"/>
    <mergeCell ref="C38:M38"/>
    <mergeCell ref="C39:M39"/>
    <mergeCell ref="C40:M40"/>
    <mergeCell ref="HC29:HM29"/>
    <mergeCell ref="HP29:HZ29"/>
    <mergeCell ref="IC29:IM29"/>
    <mergeCell ref="IP29:IV29"/>
    <mergeCell ref="AC30:AM30"/>
    <mergeCell ref="AP30:AZ30"/>
    <mergeCell ref="BP30:BZ30"/>
    <mergeCell ref="CC30:CM30"/>
    <mergeCell ref="CP30:CZ30"/>
    <mergeCell ref="DC30:DM30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P32:Z32"/>
    <mergeCell ref="A2:E2"/>
    <mergeCell ref="A1:I1"/>
    <mergeCell ref="C3:M3"/>
    <mergeCell ref="C4:M4"/>
    <mergeCell ref="F2:I2"/>
    <mergeCell ref="P29:Z29"/>
    <mergeCell ref="C18:M18"/>
    <mergeCell ref="C22:M22"/>
    <mergeCell ref="C5:M5"/>
    <mergeCell ref="C6:M6"/>
    <mergeCell ref="C7:M7"/>
    <mergeCell ref="C8:M8"/>
    <mergeCell ref="C27:M27"/>
    <mergeCell ref="C19:M19"/>
    <mergeCell ref="C9:M9"/>
    <mergeCell ref="C10:M10"/>
    <mergeCell ref="C11:M11"/>
    <mergeCell ref="C36:M36"/>
    <mergeCell ref="C14:M14"/>
    <mergeCell ref="C15:M15"/>
    <mergeCell ref="C16:M16"/>
    <mergeCell ref="C17:M17"/>
    <mergeCell ref="C55:M55"/>
    <mergeCell ref="C56:M56"/>
    <mergeCell ref="C12:M12"/>
    <mergeCell ref="C13:M13"/>
    <mergeCell ref="C34:M34"/>
    <mergeCell ref="C21:M21"/>
    <mergeCell ref="C20:M20"/>
    <mergeCell ref="C29:M29"/>
    <mergeCell ref="C25:M25"/>
    <mergeCell ref="C26:M26"/>
    <mergeCell ref="C59:M59"/>
    <mergeCell ref="C60:M60"/>
    <mergeCell ref="C62:M62"/>
    <mergeCell ref="C63:M63"/>
    <mergeCell ref="C64:M64"/>
    <mergeCell ref="C28:M28"/>
    <mergeCell ref="C45:M45"/>
    <mergeCell ref="C46:M46"/>
    <mergeCell ref="C53:M53"/>
    <mergeCell ref="C54:M54"/>
    <mergeCell ref="C48:M48"/>
    <mergeCell ref="C49:M49"/>
    <mergeCell ref="C61:M61"/>
    <mergeCell ref="C23:M23"/>
    <mergeCell ref="C44:M44"/>
    <mergeCell ref="C52:M52"/>
    <mergeCell ref="C50:M50"/>
    <mergeCell ref="C47:M47"/>
    <mergeCell ref="C24:M24"/>
    <mergeCell ref="C57:M57"/>
    <mergeCell ref="C76:M76"/>
    <mergeCell ref="C77:M77"/>
    <mergeCell ref="C78:M78"/>
    <mergeCell ref="C79:M79"/>
    <mergeCell ref="C80:M80"/>
    <mergeCell ref="C35:M35"/>
    <mergeCell ref="A72:E72"/>
    <mergeCell ref="C73:M73"/>
    <mergeCell ref="C65:M65"/>
    <mergeCell ref="C66:M66"/>
    <mergeCell ref="C67:M67"/>
    <mergeCell ref="C68:M68"/>
    <mergeCell ref="C69:M69"/>
    <mergeCell ref="C70:M70"/>
    <mergeCell ref="C74:M74"/>
    <mergeCell ref="C75:M75"/>
    <mergeCell ref="C89:M89"/>
    <mergeCell ref="C90:M90"/>
    <mergeCell ref="C81:M81"/>
    <mergeCell ref="C82:M82"/>
    <mergeCell ref="C83:M83"/>
    <mergeCell ref="C84:M84"/>
    <mergeCell ref="C86:M86"/>
    <mergeCell ref="C87:M87"/>
    <mergeCell ref="C88:M88"/>
    <mergeCell ref="C85:M85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2010-08-26T15:10:27Z</cp:lastPrinted>
  <dcterms:created xsi:type="dcterms:W3CDTF">1997-12-04T19:04:30Z</dcterms:created>
  <dcterms:modified xsi:type="dcterms:W3CDTF">2025-01-09T20:08:08Z</dcterms:modified>
</cp:coreProperties>
</file>