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D8CFD2A-A69F-4E1E-9E84-DB5E49B5C48E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1E8A708-B37B-49F8-BF33-32028394D6B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5" i="1" l="1"/>
  <c r="H584" i="1"/>
  <c r="H582" i="1"/>
  <c r="C38" i="12"/>
  <c r="C37" i="12"/>
  <c r="B38" i="12"/>
  <c r="B37" i="12"/>
  <c r="C19" i="12"/>
  <c r="C22" i="12" s="1"/>
  <c r="B19" i="12"/>
  <c r="B20" i="12"/>
  <c r="C10" i="12"/>
  <c r="C13" i="12" s="1"/>
  <c r="B10" i="12"/>
  <c r="B13" i="12" s="1"/>
  <c r="G225" i="1"/>
  <c r="F225" i="1"/>
  <c r="J594" i="1"/>
  <c r="H594" i="1"/>
  <c r="F569" i="1"/>
  <c r="K521" i="1"/>
  <c r="I521" i="1"/>
  <c r="H523" i="1"/>
  <c r="H521" i="1"/>
  <c r="H524" i="1" s="1"/>
  <c r="G523" i="1"/>
  <c r="L523" i="1" s="1"/>
  <c r="H541" i="1" s="1"/>
  <c r="G521" i="1"/>
  <c r="F521" i="1"/>
  <c r="L521" i="1" s="1"/>
  <c r="F523" i="1"/>
  <c r="G516" i="1"/>
  <c r="H516" i="1"/>
  <c r="H531" i="1"/>
  <c r="I511" i="1"/>
  <c r="H511" i="1"/>
  <c r="G513" i="1"/>
  <c r="G511" i="1"/>
  <c r="F513" i="1"/>
  <c r="L513" i="1" s="1"/>
  <c r="F541" i="1" s="1"/>
  <c r="F511" i="1"/>
  <c r="L511" i="1" s="1"/>
  <c r="F458" i="1"/>
  <c r="I352" i="1"/>
  <c r="L352" i="1" s="1"/>
  <c r="H651" i="1" s="1"/>
  <c r="H352" i="1"/>
  <c r="I350" i="1"/>
  <c r="H350" i="1"/>
  <c r="J352" i="1"/>
  <c r="J350" i="1"/>
  <c r="G352" i="1"/>
  <c r="F352" i="1"/>
  <c r="F350" i="1"/>
  <c r="G350" i="1"/>
  <c r="H268" i="1"/>
  <c r="H282" i="1" s="1"/>
  <c r="H330" i="1" s="1"/>
  <c r="H344" i="1" s="1"/>
  <c r="G306" i="1"/>
  <c r="L306" i="1" s="1"/>
  <c r="L320" i="1" s="1"/>
  <c r="G268" i="1"/>
  <c r="F268" i="1"/>
  <c r="F306" i="1"/>
  <c r="I268" i="1"/>
  <c r="J268" i="1"/>
  <c r="J282" i="1" s="1"/>
  <c r="F31" i="13" s="1"/>
  <c r="I280" i="1"/>
  <c r="H306" i="1"/>
  <c r="I306" i="1"/>
  <c r="G235" i="1"/>
  <c r="L235" i="1" s="1"/>
  <c r="J235" i="1"/>
  <c r="J199" i="1"/>
  <c r="F14" i="13" s="1"/>
  <c r="I235" i="1"/>
  <c r="I199" i="1"/>
  <c r="L199" i="1" s="1"/>
  <c r="H235" i="1"/>
  <c r="H199" i="1"/>
  <c r="G199" i="1"/>
  <c r="F199" i="1"/>
  <c r="F235" i="1"/>
  <c r="I233" i="1"/>
  <c r="K197" i="1"/>
  <c r="K233" i="1"/>
  <c r="K239" i="1" s="1"/>
  <c r="I197" i="1"/>
  <c r="H233" i="1"/>
  <c r="L233" i="1" s="1"/>
  <c r="H197" i="1"/>
  <c r="G197" i="1"/>
  <c r="G233" i="1"/>
  <c r="F233" i="1"/>
  <c r="F197" i="1"/>
  <c r="H232" i="1"/>
  <c r="H196" i="1"/>
  <c r="F195" i="1"/>
  <c r="I231" i="1"/>
  <c r="I195" i="1"/>
  <c r="H231" i="1"/>
  <c r="G231" i="1"/>
  <c r="L231" i="1" s="1"/>
  <c r="G195" i="1"/>
  <c r="H195" i="1"/>
  <c r="H203" i="1" s="1"/>
  <c r="H249" i="1" s="1"/>
  <c r="H263" i="1" s="1"/>
  <c r="F231" i="1"/>
  <c r="K194" i="1"/>
  <c r="J194" i="1"/>
  <c r="I230" i="1"/>
  <c r="I194" i="1"/>
  <c r="H194" i="1"/>
  <c r="H230" i="1"/>
  <c r="G230" i="1"/>
  <c r="G194" i="1"/>
  <c r="F230" i="1"/>
  <c r="L230" i="1" s="1"/>
  <c r="F194" i="1"/>
  <c r="L194" i="1" s="1"/>
  <c r="I192" i="1"/>
  <c r="H192" i="1"/>
  <c r="G192" i="1"/>
  <c r="F192" i="1"/>
  <c r="I228" i="1"/>
  <c r="L228" i="1" s="1"/>
  <c r="H228" i="1"/>
  <c r="G228" i="1"/>
  <c r="G190" i="1"/>
  <c r="F190" i="1"/>
  <c r="L190" i="1" s="1"/>
  <c r="I190" i="1"/>
  <c r="H190" i="1"/>
  <c r="H226" i="1"/>
  <c r="H239" i="1" s="1"/>
  <c r="G226" i="1"/>
  <c r="G239" i="1" s="1"/>
  <c r="F226" i="1"/>
  <c r="I189" i="1"/>
  <c r="G189" i="1"/>
  <c r="K225" i="1"/>
  <c r="G5" i="13" s="1"/>
  <c r="K189" i="1"/>
  <c r="J225" i="1"/>
  <c r="J189" i="1"/>
  <c r="I225" i="1"/>
  <c r="H225" i="1"/>
  <c r="H189" i="1"/>
  <c r="F189" i="1"/>
  <c r="L189" i="1" s="1"/>
  <c r="F23" i="1"/>
  <c r="F14" i="1"/>
  <c r="C60" i="2"/>
  <c r="B2" i="13"/>
  <c r="F8" i="13"/>
  <c r="G8" i="13"/>
  <c r="L196" i="1"/>
  <c r="L214" i="1"/>
  <c r="L232" i="1"/>
  <c r="C112" i="2" s="1"/>
  <c r="E8" i="13"/>
  <c r="D39" i="13"/>
  <c r="F13" i="13"/>
  <c r="G13" i="13"/>
  <c r="L198" i="1"/>
  <c r="L216" i="1"/>
  <c r="L234" i="1"/>
  <c r="F16" i="13"/>
  <c r="G16" i="13"/>
  <c r="L201" i="1"/>
  <c r="L219" i="1"/>
  <c r="C117" i="2" s="1"/>
  <c r="L237" i="1"/>
  <c r="E16" i="13"/>
  <c r="C16" i="13" s="1"/>
  <c r="F5" i="13"/>
  <c r="L191" i="1"/>
  <c r="L207" i="1"/>
  <c r="L208" i="1"/>
  <c r="L209" i="1"/>
  <c r="C103" i="2" s="1"/>
  <c r="L210" i="1"/>
  <c r="L225" i="1"/>
  <c r="L227" i="1"/>
  <c r="F6" i="13"/>
  <c r="G6" i="13"/>
  <c r="L212" i="1"/>
  <c r="F7" i="13"/>
  <c r="G7" i="13"/>
  <c r="L213" i="1"/>
  <c r="F12" i="13"/>
  <c r="L215" i="1"/>
  <c r="G14" i="13"/>
  <c r="L217" i="1"/>
  <c r="F15" i="13"/>
  <c r="G15" i="13"/>
  <c r="L200" i="1"/>
  <c r="L218" i="1"/>
  <c r="L236" i="1"/>
  <c r="H637" i="1" s="1"/>
  <c r="D15" i="13"/>
  <c r="C15" i="13" s="1"/>
  <c r="F17" i="13"/>
  <c r="G17" i="13"/>
  <c r="L243" i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L351" i="1"/>
  <c r="I359" i="1"/>
  <c r="J301" i="1"/>
  <c r="J320" i="1"/>
  <c r="K282" i="1"/>
  <c r="K301" i="1"/>
  <c r="K320" i="1"/>
  <c r="G31" i="13"/>
  <c r="L269" i="1"/>
  <c r="L270" i="1"/>
  <c r="L271" i="1"/>
  <c r="L273" i="1"/>
  <c r="L274" i="1"/>
  <c r="L275" i="1"/>
  <c r="L276" i="1"/>
  <c r="L277" i="1"/>
  <c r="L278" i="1"/>
  <c r="E115" i="2" s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7" i="1"/>
  <c r="L308" i="1"/>
  <c r="L309" i="1"/>
  <c r="L311" i="1"/>
  <c r="L312" i="1"/>
  <c r="E111" i="2" s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34" i="1"/>
  <c r="L247" i="1"/>
  <c r="F22" i="13" s="1"/>
  <c r="C22" i="13" s="1"/>
  <c r="L328" i="1"/>
  <c r="C11" i="13"/>
  <c r="C10" i="13"/>
  <c r="C9" i="13"/>
  <c r="C8" i="13"/>
  <c r="L353" i="1"/>
  <c r="B4" i="12"/>
  <c r="C36" i="12"/>
  <c r="B40" i="12"/>
  <c r="C40" i="12"/>
  <c r="B27" i="12"/>
  <c r="A31" i="12" s="1"/>
  <c r="C27" i="12"/>
  <c r="B31" i="12"/>
  <c r="C31" i="12"/>
  <c r="B18" i="12"/>
  <c r="B22" i="12"/>
  <c r="C18" i="12"/>
  <c r="B1" i="12"/>
  <c r="L379" i="1"/>
  <c r="L380" i="1"/>
  <c r="L381" i="1"/>
  <c r="L382" i="1"/>
  <c r="L383" i="1"/>
  <c r="L384" i="1"/>
  <c r="L385" i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3" i="2"/>
  <c r="G54" i="2"/>
  <c r="F2" i="11"/>
  <c r="L603" i="1"/>
  <c r="L604" i="1" s="1"/>
  <c r="H653" i="1"/>
  <c r="L602" i="1"/>
  <c r="G653" i="1" s="1"/>
  <c r="L601" i="1"/>
  <c r="F653" i="1" s="1"/>
  <c r="I653" i="1" s="1"/>
  <c r="C40" i="10"/>
  <c r="F52" i="1"/>
  <c r="G52" i="1"/>
  <c r="H52" i="1"/>
  <c r="E48" i="2" s="1"/>
  <c r="I52" i="1"/>
  <c r="F48" i="2" s="1"/>
  <c r="C35" i="10"/>
  <c r="F71" i="1"/>
  <c r="C49" i="2" s="1"/>
  <c r="F86" i="1"/>
  <c r="C50" i="2" s="1"/>
  <c r="F103" i="1"/>
  <c r="G103" i="1"/>
  <c r="G104" i="1" s="1"/>
  <c r="H71" i="1"/>
  <c r="H86" i="1"/>
  <c r="H103" i="1"/>
  <c r="I103" i="1"/>
  <c r="I104" i="1"/>
  <c r="J103" i="1"/>
  <c r="J104" i="1"/>
  <c r="J185" i="1" s="1"/>
  <c r="G636" i="1" s="1"/>
  <c r="C37" i="10"/>
  <c r="F113" i="1"/>
  <c r="F128" i="1"/>
  <c r="F132" i="1"/>
  <c r="G113" i="1"/>
  <c r="G128" i="1"/>
  <c r="G132" i="1"/>
  <c r="C38" i="10" s="1"/>
  <c r="H113" i="1"/>
  <c r="H128" i="1"/>
  <c r="H132" i="1"/>
  <c r="I113" i="1"/>
  <c r="I132" i="1" s="1"/>
  <c r="I128" i="1"/>
  <c r="J113" i="1"/>
  <c r="J128" i="1"/>
  <c r="J132" i="1"/>
  <c r="F139" i="1"/>
  <c r="F154" i="1"/>
  <c r="F161" i="1"/>
  <c r="G139" i="1"/>
  <c r="D77" i="2" s="1"/>
  <c r="G154" i="1"/>
  <c r="G161" i="1"/>
  <c r="H139" i="1"/>
  <c r="H154" i="1"/>
  <c r="H161" i="1"/>
  <c r="I139" i="1"/>
  <c r="I154" i="1"/>
  <c r="I161" i="1"/>
  <c r="C19" i="10"/>
  <c r="L242" i="1"/>
  <c r="C23" i="10" s="1"/>
  <c r="L324" i="1"/>
  <c r="L246" i="1"/>
  <c r="L260" i="1"/>
  <c r="L261" i="1"/>
  <c r="L341" i="1"/>
  <c r="L342" i="1"/>
  <c r="E135" i="2" s="1"/>
  <c r="I655" i="1"/>
  <c r="I660" i="1"/>
  <c r="L221" i="1"/>
  <c r="H652" i="1"/>
  <c r="I659" i="1"/>
  <c r="C5" i="10"/>
  <c r="C42" i="10"/>
  <c r="L366" i="1"/>
  <c r="L367" i="1"/>
  <c r="C29" i="10" s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2" i="1"/>
  <c r="F540" i="1"/>
  <c r="L516" i="1"/>
  <c r="G539" i="1"/>
  <c r="L517" i="1"/>
  <c r="L518" i="1"/>
  <c r="G541" i="1"/>
  <c r="L522" i="1"/>
  <c r="H540" i="1"/>
  <c r="L526" i="1"/>
  <c r="I539" i="1" s="1"/>
  <c r="I542" i="1" s="1"/>
  <c r="L527" i="1"/>
  <c r="I540" i="1"/>
  <c r="L528" i="1"/>
  <c r="I541" i="1"/>
  <c r="L531" i="1"/>
  <c r="J539" i="1"/>
  <c r="J542" i="1" s="1"/>
  <c r="L532" i="1"/>
  <c r="J540" i="1"/>
  <c r="L533" i="1"/>
  <c r="J541" i="1"/>
  <c r="E124" i="2"/>
  <c r="E123" i="2"/>
  <c r="K262" i="1"/>
  <c r="J262" i="1"/>
  <c r="I262" i="1"/>
  <c r="H262" i="1"/>
  <c r="G262" i="1"/>
  <c r="F262" i="1"/>
  <c r="A1" i="2"/>
  <c r="A2" i="2"/>
  <c r="C9" i="2"/>
  <c r="D9" i="2"/>
  <c r="E9" i="2"/>
  <c r="E19" i="2" s="1"/>
  <c r="F9" i="2"/>
  <c r="F19" i="2" s="1"/>
  <c r="I431" i="1"/>
  <c r="I438" i="1" s="1"/>
  <c r="G632" i="1" s="1"/>
  <c r="J9" i="1"/>
  <c r="J19" i="1" s="1"/>
  <c r="G611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D22" i="2"/>
  <c r="E22" i="2"/>
  <c r="F22" i="2"/>
  <c r="I440" i="1"/>
  <c r="I444" i="1" s="1"/>
  <c r="I451" i="1" s="1"/>
  <c r="H632" i="1" s="1"/>
  <c r="J632" i="1" s="1"/>
  <c r="J23" i="1"/>
  <c r="J33" i="1" s="1"/>
  <c r="G22" i="2"/>
  <c r="C23" i="2"/>
  <c r="D23" i="2"/>
  <c r="E23" i="2"/>
  <c r="F23" i="2"/>
  <c r="I441" i="1"/>
  <c r="J24" i="1"/>
  <c r="G23" i="2" s="1"/>
  <c r="C24" i="2"/>
  <c r="D24" i="2"/>
  <c r="E24" i="2"/>
  <c r="E32" i="2" s="1"/>
  <c r="F24" i="2"/>
  <c r="F32" i="2" s="1"/>
  <c r="F43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F42" i="2" s="1"/>
  <c r="I446" i="1"/>
  <c r="J37" i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9" i="2"/>
  <c r="E50" i="2"/>
  <c r="C51" i="2"/>
  <c r="D51" i="2"/>
  <c r="D54" i="2" s="1"/>
  <c r="E51" i="2"/>
  <c r="F51" i="2"/>
  <c r="F54" i="2" s="1"/>
  <c r="D52" i="2"/>
  <c r="C53" i="2"/>
  <c r="D53" i="2"/>
  <c r="E53" i="2"/>
  <c r="F53" i="2"/>
  <c r="D55" i="2"/>
  <c r="C58" i="2"/>
  <c r="C59" i="2"/>
  <c r="C61" i="2"/>
  <c r="D61" i="2"/>
  <c r="E61" i="2"/>
  <c r="F61" i="2"/>
  <c r="G61" i="2"/>
  <c r="G62" i="2" s="1"/>
  <c r="C62" i="2"/>
  <c r="D62" i="2"/>
  <c r="E62" i="2"/>
  <c r="F62" i="2"/>
  <c r="C64" i="2"/>
  <c r="F64" i="2"/>
  <c r="F70" i="2" s="1"/>
  <c r="C65" i="2"/>
  <c r="F65" i="2"/>
  <c r="C66" i="2"/>
  <c r="C70" i="2" s="1"/>
  <c r="C67" i="2"/>
  <c r="C68" i="2"/>
  <c r="E68" i="2"/>
  <c r="E70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E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2" i="2"/>
  <c r="E103" i="2"/>
  <c r="E104" i="2"/>
  <c r="C105" i="2"/>
  <c r="E105" i="2"/>
  <c r="E106" i="2"/>
  <c r="D107" i="2"/>
  <c r="F107" i="2"/>
  <c r="G107" i="2"/>
  <c r="E110" i="2"/>
  <c r="E113" i="2"/>
  <c r="C114" i="2"/>
  <c r="E114" i="2"/>
  <c r="F120" i="2"/>
  <c r="G120" i="2"/>
  <c r="G137" i="2" s="1"/>
  <c r="C122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L256" i="1"/>
  <c r="C128" i="2" s="1"/>
  <c r="L257" i="1"/>
  <c r="C129" i="2"/>
  <c r="E129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153" i="2" s="1"/>
  <c r="G490" i="1"/>
  <c r="C153" i="2"/>
  <c r="H490" i="1"/>
  <c r="K490" i="1" s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H493" i="1"/>
  <c r="D156" i="2"/>
  <c r="I493" i="1"/>
  <c r="E156" i="2"/>
  <c r="J493" i="1"/>
  <c r="F156" i="2" s="1"/>
  <c r="F19" i="1"/>
  <c r="G19" i="1"/>
  <c r="H19" i="1"/>
  <c r="I19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G43" i="1"/>
  <c r="H43" i="1"/>
  <c r="I43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I239" i="1"/>
  <c r="J239" i="1"/>
  <c r="F248" i="1"/>
  <c r="G248" i="1"/>
  <c r="H248" i="1"/>
  <c r="I248" i="1"/>
  <c r="J248" i="1"/>
  <c r="K248" i="1"/>
  <c r="L248" i="1"/>
  <c r="F282" i="1"/>
  <c r="F330" i="1" s="1"/>
  <c r="F344" i="1" s="1"/>
  <c r="I282" i="1"/>
  <c r="F301" i="1"/>
  <c r="G301" i="1"/>
  <c r="H301" i="1"/>
  <c r="I301" i="1"/>
  <c r="F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G426" i="1"/>
  <c r="H426" i="1"/>
  <c r="I426" i="1"/>
  <c r="J426" i="1"/>
  <c r="F438" i="1"/>
  <c r="G438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J631" i="1" s="1"/>
  <c r="I450" i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H466" i="1" s="1"/>
  <c r="H614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H514" i="1"/>
  <c r="I514" i="1"/>
  <c r="I535" i="1" s="1"/>
  <c r="J514" i="1"/>
  <c r="K514" i="1"/>
  <c r="F519" i="1"/>
  <c r="G519" i="1"/>
  <c r="H519" i="1"/>
  <c r="I519" i="1"/>
  <c r="J519" i="1"/>
  <c r="K519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J535" i="1"/>
  <c r="L547" i="1"/>
  <c r="L548" i="1"/>
  <c r="L549" i="1"/>
  <c r="F550" i="1"/>
  <c r="G550" i="1"/>
  <c r="H550" i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 s="1"/>
  <c r="J639" i="1" s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G610" i="1"/>
  <c r="J610" i="1" s="1"/>
  <c r="G612" i="1"/>
  <c r="G613" i="1"/>
  <c r="G614" i="1"/>
  <c r="G615" i="1"/>
  <c r="H618" i="1"/>
  <c r="H619" i="1"/>
  <c r="H620" i="1"/>
  <c r="G621" i="1"/>
  <c r="J621" i="1" s="1"/>
  <c r="H621" i="1"/>
  <c r="H622" i="1"/>
  <c r="H623" i="1"/>
  <c r="H625" i="1"/>
  <c r="H626" i="1"/>
  <c r="H627" i="1"/>
  <c r="H628" i="1"/>
  <c r="G629" i="1"/>
  <c r="G630" i="1"/>
  <c r="J630" i="1" s="1"/>
  <c r="G631" i="1"/>
  <c r="G633" i="1"/>
  <c r="J633" i="1" s="1"/>
  <c r="G634" i="1"/>
  <c r="J634" i="1" s="1"/>
  <c r="G635" i="1"/>
  <c r="G639" i="1"/>
  <c r="G640" i="1"/>
  <c r="H640" i="1"/>
  <c r="J640" i="1"/>
  <c r="G641" i="1"/>
  <c r="J641" i="1" s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20" i="10" l="1"/>
  <c r="C115" i="2"/>
  <c r="D14" i="13"/>
  <c r="C14" i="13" s="1"/>
  <c r="G32" i="2"/>
  <c r="H33" i="13"/>
  <c r="C25" i="13"/>
  <c r="F33" i="1"/>
  <c r="F44" i="1" s="1"/>
  <c r="H607" i="1" s="1"/>
  <c r="J607" i="1" s="1"/>
  <c r="C22" i="2"/>
  <c r="C32" i="2" s="1"/>
  <c r="L268" i="1"/>
  <c r="G282" i="1"/>
  <c r="L524" i="1"/>
  <c r="H539" i="1"/>
  <c r="H542" i="1" s="1"/>
  <c r="L529" i="1"/>
  <c r="K535" i="1"/>
  <c r="E73" i="2"/>
  <c r="E42" i="2"/>
  <c r="E43" i="2" s="1"/>
  <c r="C54" i="2"/>
  <c r="C55" i="2" s="1"/>
  <c r="C96" i="2" s="1"/>
  <c r="F33" i="13"/>
  <c r="C10" i="10"/>
  <c r="C101" i="2"/>
  <c r="C15" i="10"/>
  <c r="C110" i="2"/>
  <c r="D6" i="13"/>
  <c r="C6" i="13" s="1"/>
  <c r="G203" i="1"/>
  <c r="G249" i="1" s="1"/>
  <c r="G263" i="1" s="1"/>
  <c r="H617" i="1"/>
  <c r="F460" i="1"/>
  <c r="F466" i="1" s="1"/>
  <c r="H612" i="1" s="1"/>
  <c r="J612" i="1" s="1"/>
  <c r="J629" i="1"/>
  <c r="J609" i="1"/>
  <c r="C73" i="2"/>
  <c r="E134" i="2"/>
  <c r="L343" i="1"/>
  <c r="A22" i="12"/>
  <c r="E116" i="2"/>
  <c r="D19" i="2"/>
  <c r="E136" i="2"/>
  <c r="F55" i="2"/>
  <c r="E117" i="2"/>
  <c r="E120" i="2" s="1"/>
  <c r="C17" i="10"/>
  <c r="K541" i="1"/>
  <c r="L411" i="1"/>
  <c r="C19" i="2"/>
  <c r="I185" i="1"/>
  <c r="G620" i="1" s="1"/>
  <c r="J620" i="1" s="1"/>
  <c r="C133" i="2"/>
  <c r="L419" i="1"/>
  <c r="G73" i="2"/>
  <c r="G96" i="2" s="1"/>
  <c r="C26" i="10"/>
  <c r="F104" i="1"/>
  <c r="F185" i="1" s="1"/>
  <c r="G617" i="1" s="1"/>
  <c r="L400" i="1"/>
  <c r="L226" i="1"/>
  <c r="C102" i="2" s="1"/>
  <c r="L514" i="1"/>
  <c r="F539" i="1"/>
  <c r="L561" i="1"/>
  <c r="G466" i="1"/>
  <c r="H613" i="1" s="1"/>
  <c r="J613" i="1" s="1"/>
  <c r="L425" i="1"/>
  <c r="I354" i="1"/>
  <c r="G624" i="1" s="1"/>
  <c r="J624" i="1" s="1"/>
  <c r="K493" i="1"/>
  <c r="F73" i="2"/>
  <c r="E54" i="2"/>
  <c r="E55" i="2" s="1"/>
  <c r="E96" i="2" s="1"/>
  <c r="L534" i="1"/>
  <c r="L239" i="1"/>
  <c r="H650" i="1" s="1"/>
  <c r="H654" i="1" s="1"/>
  <c r="G540" i="1"/>
  <c r="L519" i="1"/>
  <c r="D17" i="13"/>
  <c r="C17" i="13" s="1"/>
  <c r="C106" i="2"/>
  <c r="C24" i="10"/>
  <c r="D5" i="13"/>
  <c r="G33" i="13"/>
  <c r="G150" i="2"/>
  <c r="D96" i="2"/>
  <c r="L262" i="1"/>
  <c r="G542" i="1"/>
  <c r="C39" i="10"/>
  <c r="E13" i="13"/>
  <c r="C9" i="12"/>
  <c r="L192" i="1"/>
  <c r="L197" i="1"/>
  <c r="H535" i="1"/>
  <c r="G36" i="2"/>
  <c r="G42" i="2" s="1"/>
  <c r="G43" i="2" s="1"/>
  <c r="J43" i="1"/>
  <c r="D42" i="2"/>
  <c r="D43" i="2" s="1"/>
  <c r="D32" i="2"/>
  <c r="G650" i="1"/>
  <c r="G185" i="1"/>
  <c r="G618" i="1" s="1"/>
  <c r="J618" i="1" s="1"/>
  <c r="D29" i="13"/>
  <c r="C29" i="13" s="1"/>
  <c r="L354" i="1"/>
  <c r="F651" i="1"/>
  <c r="G651" i="1"/>
  <c r="D119" i="2"/>
  <c r="D120" i="2" s="1"/>
  <c r="D137" i="2" s="1"/>
  <c r="J614" i="1"/>
  <c r="G535" i="1"/>
  <c r="J249" i="1"/>
  <c r="E83" i="2"/>
  <c r="C42" i="2"/>
  <c r="C43" i="2" s="1"/>
  <c r="G9" i="2"/>
  <c r="G19" i="2" s="1"/>
  <c r="K540" i="1"/>
  <c r="C124" i="2"/>
  <c r="C25" i="10"/>
  <c r="L195" i="1"/>
  <c r="F203" i="1"/>
  <c r="F249" i="1" s="1"/>
  <c r="F263" i="1" s="1"/>
  <c r="C156" i="2"/>
  <c r="G156" i="2" s="1"/>
  <c r="B36" i="12"/>
  <c r="A40" i="12" s="1"/>
  <c r="F514" i="1"/>
  <c r="F535" i="1" s="1"/>
  <c r="G320" i="1"/>
  <c r="F652" i="1"/>
  <c r="I652" i="1" s="1"/>
  <c r="H104" i="1"/>
  <c r="H185" i="1" s="1"/>
  <c r="G619" i="1" s="1"/>
  <c r="J619" i="1" s="1"/>
  <c r="C32" i="10"/>
  <c r="C12" i="10"/>
  <c r="B9" i="12"/>
  <c r="A13" i="12" s="1"/>
  <c r="G12" i="13"/>
  <c r="L374" i="1"/>
  <c r="G626" i="1" s="1"/>
  <c r="J626" i="1" s="1"/>
  <c r="F122" i="2"/>
  <c r="F136" i="2" s="1"/>
  <c r="F137" i="2" s="1"/>
  <c r="C116" i="2"/>
  <c r="C123" i="2"/>
  <c r="F239" i="1"/>
  <c r="C21" i="10"/>
  <c r="C134" i="2"/>
  <c r="H638" i="1" l="1"/>
  <c r="J638" i="1" s="1"/>
  <c r="J263" i="1"/>
  <c r="H662" i="1"/>
  <c r="C6" i="10" s="1"/>
  <c r="H657" i="1"/>
  <c r="G627" i="1"/>
  <c r="J627" i="1" s="1"/>
  <c r="H636" i="1"/>
  <c r="J636" i="1" s="1"/>
  <c r="L426" i="1"/>
  <c r="G628" i="1" s="1"/>
  <c r="J628" i="1" s="1"/>
  <c r="L282" i="1"/>
  <c r="E101" i="2"/>
  <c r="E107" i="2" s="1"/>
  <c r="E137" i="2" s="1"/>
  <c r="C136" i="2"/>
  <c r="J617" i="1"/>
  <c r="G616" i="1"/>
  <c r="J44" i="1"/>
  <c r="H611" i="1" s="1"/>
  <c r="J611" i="1" s="1"/>
  <c r="C5" i="13"/>
  <c r="D7" i="13"/>
  <c r="C7" i="13" s="1"/>
  <c r="C111" i="2"/>
  <c r="C120" i="2" s="1"/>
  <c r="C16" i="10"/>
  <c r="I651" i="1"/>
  <c r="C27" i="10"/>
  <c r="G625" i="1"/>
  <c r="J625" i="1" s="1"/>
  <c r="C104" i="2"/>
  <c r="C13" i="10"/>
  <c r="C36" i="10"/>
  <c r="C113" i="2"/>
  <c r="D12" i="13"/>
  <c r="C12" i="13" s="1"/>
  <c r="C18" i="10"/>
  <c r="C11" i="10"/>
  <c r="C28" i="10" s="1"/>
  <c r="C13" i="13"/>
  <c r="E33" i="13"/>
  <c r="D35" i="13" s="1"/>
  <c r="K539" i="1"/>
  <c r="K542" i="1" s="1"/>
  <c r="F542" i="1"/>
  <c r="L535" i="1"/>
  <c r="C107" i="2"/>
  <c r="F96" i="2"/>
  <c r="G654" i="1"/>
  <c r="L203" i="1"/>
  <c r="G330" i="1"/>
  <c r="G344" i="1" s="1"/>
  <c r="C30" i="10" l="1"/>
  <c r="D22" i="10"/>
  <c r="D23" i="10"/>
  <c r="D19" i="10"/>
  <c r="D26" i="10"/>
  <c r="D20" i="10"/>
  <c r="D21" i="10"/>
  <c r="D15" i="10"/>
  <c r="D24" i="10"/>
  <c r="D10" i="10"/>
  <c r="D28" i="10" s="1"/>
  <c r="D25" i="10"/>
  <c r="D12" i="10"/>
  <c r="D17" i="10"/>
  <c r="L249" i="1"/>
  <c r="L263" i="1" s="1"/>
  <c r="G622" i="1" s="1"/>
  <c r="J622" i="1" s="1"/>
  <c r="F650" i="1"/>
  <c r="D27" i="10"/>
  <c r="G662" i="1"/>
  <c r="G657" i="1"/>
  <c r="L330" i="1"/>
  <c r="L344" i="1" s="1"/>
  <c r="G623" i="1" s="1"/>
  <c r="J623" i="1" s="1"/>
  <c r="D31" i="13"/>
  <c r="C31" i="13" s="1"/>
  <c r="D33" i="13"/>
  <c r="D36" i="13" s="1"/>
  <c r="D36" i="10"/>
  <c r="C41" i="10"/>
  <c r="D18" i="10"/>
  <c r="D13" i="10"/>
  <c r="J616" i="1"/>
  <c r="D11" i="10"/>
  <c r="C137" i="2"/>
  <c r="D16" i="10"/>
  <c r="D40" i="10" l="1"/>
  <c r="D37" i="10"/>
  <c r="D35" i="10"/>
  <c r="D38" i="10"/>
  <c r="D39" i="10"/>
  <c r="H646" i="1"/>
  <c r="I650" i="1"/>
  <c r="I654" i="1" s="1"/>
  <c r="F654" i="1"/>
  <c r="F662" i="1" l="1"/>
  <c r="C4" i="10" s="1"/>
  <c r="F657" i="1"/>
  <c r="I662" i="1"/>
  <c r="C7" i="10" s="1"/>
  <c r="I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8796DAC-7FE2-4EC2-BC25-44E0BADD466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2010CD6-0C0B-43CD-9C01-48E356978B8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32784AA-1158-4278-A49A-85C215054C6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A364A81-3531-46DC-A4E7-266F1083E4A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F63BA26-4726-44F2-9438-3F13A9B7A2A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97DA83A-3FC3-44EB-AFC1-00FF70B5EE1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631C3B7-2FFD-4055-8387-9D05372EFA9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D6AFA2A-451D-4304-8782-7B48404C0F0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68DD586-6924-46C1-B4C4-BAAB3A498B2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2083958-FCF7-4507-9305-9449A1678C2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271CCD4-537D-4203-9B33-9B28E54CBC3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693626C-E617-4375-B712-99BCED589AA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<sst xmlns="http://schemas.openxmlformats.org/spreadsheetml/2006/main" count="3862" uniqueCount="899">
  <si>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</si>
  <si>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</si>
  <si>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</si>
  <si>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</si>
  <si>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</si>
  <si>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</si>
  <si>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</si>
  <si>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</si>
  <si>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</si>
  <si>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</si>
  <si>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</si>
  <si>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</si>
  <si>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</si>
  <si>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</si>
  <si>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</si>
  <si>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</si>
  <si>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</si>
  <si>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</si>
  <si>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</si>
  <si>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</si>
  <si>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</si>
  <si>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</si>
  <si>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</si>
  <si>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</si>
  <si>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</si>
  <si>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</si>
  <si>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</si>
  <si>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</si>
  <si>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</si>
  <si>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</si>
  <si>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</si>
  <si>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</si>
  <si>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</si>
  <si>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</si>
  <si>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</si>
  <si>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</si>
  <si>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</si>
  <si>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</si>
  <si>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</si>
  <si>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</si>
  <si>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</si>
  <si>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</si>
  <si>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</si>
  <si>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</si>
  <si>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</si>
  <si>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</si>
  <si>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</si>
  <si>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</si>
  <si>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</si>
  <si>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</si>
  <si>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</si>
  <si>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</si>
  <si>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</si>
  <si>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</si>
  <si>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</si>
  <si>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</si>
  <si>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</si>
  <si>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</si>
  <si>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</si>
  <si>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</si>
  <si>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</si>
  <si>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</si>
  <si>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</si>
  <si>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</si>
  <si>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</si>
  <si>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</si>
  <si>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</si>
  <si>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</si>
  <si>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</si>
  <si>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</si>
  <si>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</si>
  <si>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</si>
  <si>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</si>
  <si>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</si>
  <si>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</si>
  <si>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</si>
  <si>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</si>
  <si>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</si>
  <si>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</si>
  <si>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</si>
  <si>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</si>
  <si>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</si>
  <si>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</si>
  <si>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</si>
  <si>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</si>
  <si>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</si>
  <si>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</si>
  <si>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</si>
  <si>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</si>
  <si>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</si>
  <si>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</si>
  <si>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</si>
  <si>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</si>
  <si>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</si>
  <si>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</si>
  <si>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</si>
  <si>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</si>
  <si>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</si>
  <si>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</si>
  <si>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</si>
  <si>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</si>
  <si>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</si>
  <si>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</si>
  <si>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</si>
  <si>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</si>
  <si>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</si>
  <si>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</si>
  <si>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</si>
  <si>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</si>
  <si>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</si>
  <si>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</si>
  <si>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</si>
  <si>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</si>
  <si>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</si>
  <si>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</si>
  <si>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</si>
  <si>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</si>
  <si>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</si>
  <si>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</si>
  <si>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</si>
  <si>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</si>
  <si>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</si>
  <si>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</si>
  <si>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</si>
  <si>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</si>
  <si>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</si>
  <si>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</si>
  <si>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</si>
  <si>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</si>
  <si>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</si>
  <si>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</si>
  <si>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</si>
  <si>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</si>
  <si>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</si>
  <si>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</si>
  <si>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</si>
  <si>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</si>
  <si>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</si>
  <si>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</si>
  <si>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</si>
  <si>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</si>
  <si>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</si>
  <si>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</si>
  <si>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</si>
  <si>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</si>
  <si>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</si>
  <si>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</si>
  <si>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</si>
  <si>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</si>
  <si>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</si>
  <si>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</si>
  <si>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</si>
  <si>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</si>
  <si>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</si>
  <si>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</si>
  <si>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</si>
  <si>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</si>
  <si>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</si>
  <si>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</si>
  <si>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</si>
  <si>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</si>
  <si>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</si>
  <si>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</si>
  <si>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</si>
  <si>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</si>
  <si>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</si>
  <si>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</si>
  <si>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</si>
  <si>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</si>
  <si>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</si>
  <si>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</si>
  <si>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</si>
  <si>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</si>
  <si>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</si>
  <si>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</si>
  <si>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</si>
  <si>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</si>
  <si>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</si>
  <si>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</si>
  <si>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</si>
  <si>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</si>
  <si>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</si>
  <si>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</si>
  <si>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</si>
  <si>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</si>
  <si>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</si>
  <si>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</si>
  <si>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</si>
  <si>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</si>
  <si>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</si>
  <si>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</si>
  <si>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</si>
  <si>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</si>
  <si>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</si>
  <si>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</si>
  <si>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</si>
  <si>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</si>
  <si>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</si>
  <si>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</si>
  <si>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</si>
  <si>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</si>
  <si>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</si>
  <si>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</si>
  <si>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</si>
  <si>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</si>
  <si>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</si>
  <si>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</si>
  <si>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</si>
  <si>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</si>
  <si>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</si>
  <si>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</si>
  <si>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</si>
  <si>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</si>
  <si>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</si>
  <si>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</si>
  <si>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</si>
  <si>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</si>
  <si>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</si>
  <si>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</si>
  <si>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</si>
  <si>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</si>
  <si>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</si>
  <si>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</si>
  <si>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</si>
  <si>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</si>
  <si>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</si>
  <si>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</si>
  <si>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</si>
  <si>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</si>
  <si>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</si>
  <si>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</si>
  <si>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</si>
  <si>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</si>
  <si>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</si>
  <si>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</si>
  <si>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</si>
  <si>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</si>
  <si>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</si>
  <si>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</si>
  <si>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</si>
  <si>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</si>
  <si>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</si>
  <si>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</si>
  <si>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</si>
  <si>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</si>
  <si>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</si>
  <si>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</si>
  <si>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</si>
  <si>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</si>
  <si>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</si>
  <si>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</si>
  <si>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</si>
  <si>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</si>
  <si>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</si>
  <si>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</si>
  <si>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</si>
  <si>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</si>
  <si>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</si>
  <si>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</si>
  <si>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</si>
  <si>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</si>
  <si>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</si>
  <si>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</si>
  <si>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</si>
  <si>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</si>
  <si>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</si>
  <si>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</si>
  <si>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</si>
  <si>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</si>
  <si>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</si>
  <si>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</si>
  <si>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</si>
  <si>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</si>
  <si>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</si>
  <si>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</si>
  <si>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</si>
  <si>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</si>
  <si>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</si>
  <si>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</si>
  <si>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</si>
  <si>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</si>
  <si>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</si>
  <si>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</si>
  <si>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</si>
  <si>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</si>
  <si>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</si>
  <si>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</si>
  <si>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</si>
  <si>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</si>
  <si>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</si>
  <si>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</si>
  <si>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</si>
  <si>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</si>
  <si>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</si>
  <si>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</si>
  <si>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</si>
  <si>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</si>
  <si>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</si>
  <si>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</si>
  <si>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</si>
  <si>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</si>
  <si>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</si>
  <si>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</si>
  <si>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</si>
  <si>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</si>
  <si>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</si>
  <si>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</si>
  <si>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</si>
  <si>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</si>
  <si>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</si>
  <si>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</si>
  <si>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</si>
  <si>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</si>
  <si>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</si>
  <si>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</si>
  <si>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</si>
  <si>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</si>
  <si>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</si>
  <si>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</si>
  <si>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</si>
  <si>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</si>
  <si>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</si>
  <si>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</si>
  <si>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</si>
  <si>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</si>
  <si>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</si>
  <si>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</si>
  <si>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</si>
  <si>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</si>
  <si>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</si>
  <si>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</si>
  <si>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</si>
  <si>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</si>
  <si>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</si>
  <si>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</si>
  <si>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</si>
  <si>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</si>
  <si>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</si>
  <si>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</si>
  <si>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</si>
  <si>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</si>
  <si>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</si>
  <si>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</si>
  <si>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</si>
  <si>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</si>
  <si>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</si>
  <si>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</si>
  <si>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</si>
  <si>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</si>
  <si>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</si>
  <si>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</si>
  <si>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</si>
  <si>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</si>
  <si>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</si>
  <si>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</si>
  <si>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</si>
  <si>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</si>
  <si>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</si>
  <si>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</si>
  <si>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</si>
  <si>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</si>
  <si>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</si>
  <si>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</si>
  <si>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</si>
  <si>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</si>
  <si>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</si>
  <si>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</si>
  <si>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</si>
  <si>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</si>
  <si>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</si>
  <si>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</si>
  <si>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</si>
  <si>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</si>
  <si>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</si>
  <si>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</si>
  <si>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</si>
  <si>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</si>
  <si>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</si>
  <si>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</si>
  <si>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</si>
  <si>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</si>
  <si>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</si>
  <si>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</si>
  <si>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</si>
  <si>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</si>
  <si>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</si>
  <si>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</si>
  <si>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</si>
  <si>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</si>
  <si>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</si>
  <si>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</si>
  <si>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</si>
  <si>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</si>
  <si>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</si>
  <si>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</si>
  <si>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</si>
  <si>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</si>
  <si>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</si>
  <si>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</si>
  <si>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</si>
  <si>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</si>
  <si>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</si>
  <si>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</si>
  <si>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</si>
  <si>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</si>
  <si>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</si>
  <si>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</si>
  <si>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</si>
  <si>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</si>
  <si>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</si>
  <si>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</si>
  <si>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</si>
  <si>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</si>
  <si>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</si>
  <si>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</si>
  <si>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</si>
  <si>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</si>
  <si>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</si>
  <si>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</si>
  <si>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</si>
  <si>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</si>
  <si>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</si>
  <si>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</si>
  <si>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</si>
  <si>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</si>
  <si>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</si>
  <si>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</si>
  <si>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</si>
  <si>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</si>
  <si>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</si>
  <si>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</si>
  <si>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</si>
  <si>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</si>
  <si>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</si>
  <si>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</si>
  <si>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</si>
  <si>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</si>
  <si>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</si>
  <si>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</si>
  <si>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</si>
  <si>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</si>
  <si>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</si>
  <si>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</si>
  <si>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</si>
  <si>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</si>
  <si>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</si>
  <si>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</si>
  <si>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</si>
  <si>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</si>
  <si>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</si>
  <si>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</si>
  <si>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</si>
  <si>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</si>
  <si>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</si>
  <si>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</si>
  <si>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</si>
  <si>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</si>
  <si>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</si>
  <si>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</si>
  <si>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</si>
  <si>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</si>
  <si>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</si>
  <si>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</si>
  <si>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</si>
  <si>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</si>
  <si>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</si>
  <si>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</si>
  <si>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</si>
  <si>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</si>
  <si>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</si>
  <si>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</si>
  <si>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</si>
  <si>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</si>
  <si>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</si>
  <si>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</si>
  <si>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</si>
  <si>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</si>
  <si>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</si>
  <si>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</si>
  <si>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</si>
  <si>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</si>
  <si>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</si>
  <si>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</si>
  <si>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</si>
  <si>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</si>
  <si>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</si>
  <si>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</si>
  <si>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</si>
  <si>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</si>
  <si>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</si>
  <si>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</si>
  <si>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</si>
  <si>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</si>
  <si>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</si>
  <si>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</si>
  <si>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</si>
  <si>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</si>
  <si>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</si>
  <si>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</si>
  <si>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</si>
  <si>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</si>
  <si>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</si>
  <si>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</si>
  <si>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</si>
  <si>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</si>
  <si>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</si>
  <si>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</si>
  <si>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</si>
  <si>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</si>
  <si>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</si>
  <si>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</si>
  <si>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</si>
  <si>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</si>
  <si>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</si>
  <si>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</si>
  <si>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</si>
  <si>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</si>
  <si>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</si>
  <si>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</si>
  <si>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</si>
  <si>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</si>
  <si>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</si>
  <si>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</si>
  <si>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</si>
  <si>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</si>
  <si>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</si>
  <si>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</si>
  <si>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</si>
  <si>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</si>
  <si>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</si>
  <si>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</si>
  <si>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</si>
  <si>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</si>
  <si>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</si>
  <si>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</si>
  <si>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</si>
  <si>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</si>
  <si>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</si>
  <si>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</si>
  <si>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</si>
  <si>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</si>
  <si>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</si>
  <si>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</si>
  <si>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</si>
  <si>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</si>
  <si>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</si>
  <si>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</si>
  <si>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</si>
  <si>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</si>
  <si>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</si>
  <si>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</si>
  <si>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</si>
  <si>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</si>
  <si>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</si>
  <si>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</si>
  <si>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</si>
  <si>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</si>
  <si>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</si>
  <si>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</si>
  <si>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</si>
  <si>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</si>
  <si>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</si>
  <si>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</si>
  <si>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</si>
  <si>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</si>
  <si>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</si>
  <si>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</si>
  <si>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</si>
  <si>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</si>
  <si>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</si>
  <si>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</si>
  <si>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</si>
  <si>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</si>
  <si>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</si>
  <si>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</si>
  <si>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</si>
  <si>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</si>
  <si>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</si>
  <si>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</si>
  <si>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</si>
  <si>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</si>
  <si>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</si>
  <si>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</si>
  <si>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</si>
  <si>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</si>
  <si>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</si>
  <si>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</si>
  <si>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</si>
  <si>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</si>
  <si>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</si>
  <si>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</si>
  <si>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</si>
  <si>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</si>
  <si>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</si>
  <si>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</si>
  <si>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</si>
  <si>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</si>
  <si>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</si>
  <si>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</si>
  <si>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</si>
  <si>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</si>
  <si>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</si>
  <si>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</si>
  <si>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</si>
  <si>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</si>
  <si>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</si>
  <si>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</si>
  <si>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</si>
  <si>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</si>
  <si>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</si>
  <si>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</si>
  <si>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</si>
  <si>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</si>
  <si>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</si>
  <si>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</si>
  <si>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</si>
  <si>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</si>
  <si>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</si>
  <si>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</si>
  <si>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</si>
  <si>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</si>
  <si>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</si>
  <si>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</si>
  <si>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</si>
  <si>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</si>
  <si>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</si>
  <si>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</si>
  <si>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</si>
  <si>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</si>
  <si>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</si>
  <si>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</si>
  <si>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</si>
  <si>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</si>
  <si>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</si>
  <si>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</si>
  <si>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</si>
  <si>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</si>
  <si>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</si>
  <si>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</si>
  <si>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</si>
  <si>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</si>
  <si>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</si>
  <si>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</si>
  <si>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</si>
  <si>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</si>
  <si>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</si>
  <si>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</si>
  <si>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</si>
  <si>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</si>
  <si>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</si>
  <si>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</si>
  <si>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</si>
  <si>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</si>
  <si>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</si>
  <si>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</si>
  <si>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</si>
  <si>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</si>
  <si>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</si>
  <si>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</si>
  <si>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</si>
  <si>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</si>
  <si>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</si>
  <si>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</si>
  <si>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</si>
  <si>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</si>
  <si>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</si>
  <si>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</si>
  <si>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</si>
  <si>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</si>
  <si>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</si>
  <si>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</si>
  <si>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</si>
  <si>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</si>
  <si>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</si>
  <si>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</si>
  <si>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</si>
  <si>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</si>
  <si>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</si>
  <si>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</si>
  <si>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</si>
  <si>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</si>
  <si>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</si>
  <si>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</si>
  <si>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</si>
  <si>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</si>
  <si>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</si>
  <si>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</si>
  <si>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</si>
  <si>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</si>
  <si>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</si>
  <si>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</si>
  <si>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</si>
  <si>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</si>
  <si>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</si>
  <si>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</si>
  <si>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</si>
  <si>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</si>
  <si>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</si>
  <si>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</si>
  <si>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</si>
  <si>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</si>
  <si>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</si>
  <si>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</si>
  <si>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</si>
  <si>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</si>
  <si>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</si>
  <si>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</si>
  <si>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</si>
  <si>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</si>
  <si>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</si>
  <si>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</si>
  <si>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</si>
  <si>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</si>
  <si>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</si>
  <si>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</si>
  <si>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</si>
  <si>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</si>
  <si>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</si>
  <si>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</si>
  <si>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</si>
  <si>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</si>
  <si>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</si>
  <si>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</si>
  <si>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</si>
  <si>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</si>
  <si>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</si>
  <si>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</si>
  <si>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</si>
  <si>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</si>
  <si>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</si>
  <si>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</si>
  <si>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</si>
  <si>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</si>
  <si>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</si>
  <si>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</si>
  <si>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</si>
  <si>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</si>
  <si>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</si>
  <si>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</si>
  <si>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</si>
  <si>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</si>
  <si>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</si>
  <si>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</si>
  <si>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</si>
  <si>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</si>
  <si>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</si>
  <si>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</si>
  <si>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</si>
  <si>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</si>
  <si>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</si>
  <si>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</si>
  <si>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</si>
  <si>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</si>
  <si>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</si>
  <si>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</si>
  <si>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</si>
  <si>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</si>
  <si>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</si>
  <si>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</si>
  <si>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</si>
  <si>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</si>
  <si>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</si>
  <si>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</si>
  <si>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</si>
  <si>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</si>
  <si>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</si>
  <si>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</si>
  <si>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</si>
  <si>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</si>
  <si>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</si>
  <si>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</si>
  <si>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</si>
  <si>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</si>
  <si>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</si>
  <si>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</si>
  <si>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</si>
  <si>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</si>
  <si>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</si>
  <si>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</si>
  <si>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</si>
  <si>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</si>
  <si>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</si>
  <si>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</si>
  <si>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</si>
  <si>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</si>
  <si>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</si>
  <si>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</si>
  <si>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</si>
  <si>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</si>
  <si>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</si>
  <si>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</si>
  <si>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</si>
  <si>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</si>
  <si>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</si>
  <si>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</si>
  <si>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</si>
  <si>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</si>
  <si>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</si>
  <si>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</si>
  <si>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</si>
  <si>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</si>
  <si>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</si>
  <si>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</si>
  <si>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</si>
  <si>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</si>
  <si>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</si>
  <si>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</si>
  <si>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</si>
  <si>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</si>
  <si>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</si>
  <si>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</si>
  <si>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</si>
  <si>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</si>
  <si>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</si>
  <si>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</si>
  <si>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</si>
  <si>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</si>
  <si>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</si>
  <si>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</si>
  <si>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</si>
  <si>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</si>
  <si>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</si>
  <si>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</si>
  <si>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</si>
  <si>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</si>
  <si>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</si>
  <si>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</si>
  <si>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</si>
  <si>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</si>
  <si>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</si>
  <si>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</si>
  <si>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</si>
  <si>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</si>
  <si>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</si>
  <si>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</si>
  <si>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</si>
  <si>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</si>
  <si>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</si>
  <si>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</si>
  <si>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</si>
  <si>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</si>
  <si>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</si>
  <si>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</si>
  <si>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</si>
  <si>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</si>
  <si>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</si>
  <si>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</si>
  <si>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</si>
  <si>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</si>
  <si>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</si>
  <si>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</si>
  <si>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</si>
  <si>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</si>
  <si>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</si>
  <si>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</si>
  <si>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</si>
  <si>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</si>
  <si>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</si>
  <si>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</si>
  <si>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</si>
  <si>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</si>
  <si>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</si>
  <si>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</si>
  <si>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</si>
  <si>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</si>
  <si>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</si>
  <si>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</si>
  <si>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</si>
  <si>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</si>
  <si>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</si>
  <si>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</si>
  <si>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</si>
  <si>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</si>
  <si>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</si>
  <si>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</si>
  <si>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</si>
  <si>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</si>
  <si>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</si>
  <si>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</si>
  <si>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</si>
  <si>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</si>
  <si>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</si>
  <si>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</si>
  <si>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</si>
  <si>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</si>
  <si>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</si>
  <si>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</si>
  <si>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</si>
  <si>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</si>
  <si>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</si>
  <si>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</si>
  <si>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</si>
  <si>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</si>
  <si>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</si>
  <si>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06/01</t>
  </si>
  <si>
    <t>06/15</t>
  </si>
  <si>
    <t>06/10</t>
  </si>
  <si>
    <t>09/20</t>
  </si>
  <si>
    <t>NORTHUMBERLAND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</si>
</sst>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DBCB-7084-4554-AB4D-5C4B7BB0617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407</v>
      </c>
      <c r="C2" s="21">
        <v>407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-10020.129999999999</v>
      </c>
      <c r="G9" s="18"/>
      <c r="H9" s="18"/>
      <c r="I9" s="18"/>
      <c r="J9" s="67">
        <f>SUM(I431)</f>
        <v>302405.03999999998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206883.75</v>
      </c>
      <c r="G12" s="18">
        <v>648.23</v>
      </c>
      <c r="H12" s="18">
        <v>5714.5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7807.53+11675.13</f>
        <v>19482.66</v>
      </c>
      <c r="G14" s="18">
        <v>11675.13</v>
      </c>
      <c r="H14" s="18">
        <v>206883.75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216346.28</v>
      </c>
      <c r="G19" s="41">
        <f>SUM(G9:G18)</f>
        <v>12323.359999999999</v>
      </c>
      <c r="H19" s="41">
        <f>SUM(H9:H18)</f>
        <v>212598.25</v>
      </c>
      <c r="I19" s="41">
        <f>SUM(I9:I18)</f>
        <v>0</v>
      </c>
      <c r="J19" s="41">
        <f>SUM(J9:J18)</f>
        <v>302405.03999999998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5714.5+648.23</f>
        <v>6362.73</v>
      </c>
      <c r="G23" s="18">
        <v>11675.13</v>
      </c>
      <c r="H23" s="18">
        <v>206883.75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27363.23</v>
      </c>
      <c r="G30" s="18">
        <v>648.23</v>
      </c>
      <c r="H30" s="18">
        <v>5714.5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134089.79999999999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167815.75999999998</v>
      </c>
      <c r="G33" s="41">
        <f>SUM(G23:G32)</f>
        <v>12323.359999999999</v>
      </c>
      <c r="H33" s="41">
        <f>SUM(H23:H32)</f>
        <v>212598.25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302405.03999999998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48530.52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48530.52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302405.03999999998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216346.27999999997</v>
      </c>
      <c r="G44" s="41">
        <f>G43+G33</f>
        <v>12323.359999999999</v>
      </c>
      <c r="H44" s="41">
        <f>H43+H33</f>
        <v>212598.25</v>
      </c>
      <c r="I44" s="41">
        <f>I43+I33</f>
        <v>0</v>
      </c>
      <c r="J44" s="41">
        <f>J43+J33</f>
        <v>302405.03999999998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1318897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1318897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467946.36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253876.59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721822.95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856.91</v>
      </c>
      <c r="G88" s="18"/>
      <c r="H88" s="18"/>
      <c r="I88" s="18"/>
      <c r="J88" s="18">
        <v>844.39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62578.38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10000.08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47642.99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58499.979999999996</v>
      </c>
      <c r="G103" s="41">
        <f>SUM(G88:G102)</f>
        <v>62578.38</v>
      </c>
      <c r="H103" s="41">
        <f>SUM(H88:H102)</f>
        <v>0</v>
      </c>
      <c r="I103" s="41">
        <f>SUM(I88:I102)</f>
        <v>0</v>
      </c>
      <c r="J103" s="41">
        <f>SUM(J88:J102)</f>
        <v>844.39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2099219.9300000002</v>
      </c>
      <c r="G104" s="41">
        <f>G52+G103</f>
        <v>62578.38</v>
      </c>
      <c r="H104" s="41">
        <f>H52+H71+H86+H103</f>
        <v>0</v>
      </c>
      <c r="I104" s="41">
        <f>I52+I103</f>
        <v>0</v>
      </c>
      <c r="J104" s="41">
        <f>J52+J103</f>
        <v>844.39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1898575.58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293787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728424.42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2920787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17506.439999999999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39304.800000000003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1966.7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56811.240000000005</v>
      </c>
      <c r="G128" s="41">
        <f>SUM(G115:G127)</f>
        <v>1966.7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2977598.24</v>
      </c>
      <c r="G132" s="41">
        <f>G113+SUM(G128:G129)</f>
        <v>1966.7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226687.05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142603.75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80538.45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105902.69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21196.53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127099.22</v>
      </c>
      <c r="G154" s="41">
        <f>SUM(G142:G153)</f>
        <v>80538.45</v>
      </c>
      <c r="H154" s="41">
        <f>SUM(H142:H153)</f>
        <v>369290.8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9848.36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136947.58000000002</v>
      </c>
      <c r="G161" s="41">
        <f>G139+G154+SUM(G155:G160)</f>
        <v>80538.45</v>
      </c>
      <c r="H161" s="41">
        <f>H139+H154+SUM(H155:H160)</f>
        <v>369290.8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18327.63</v>
      </c>
      <c r="H171" s="18"/>
      <c r="I171" s="18"/>
      <c r="J171" s="18">
        <v>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18327.63</v>
      </c>
      <c r="H175" s="41">
        <f>SUM(H171:H174)</f>
        <v>0</v>
      </c>
      <c r="I175" s="41">
        <f>SUM(I171:I174)</f>
        <v>0</v>
      </c>
      <c r="J175" s="41">
        <f>SUM(J171:J174)</f>
        <v>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18327.63</v>
      </c>
      <c r="H184" s="41">
        <f>+H175+SUM(H180:H183)</f>
        <v>0</v>
      </c>
      <c r="I184" s="41">
        <f>I169+I175+SUM(I180:I183)</f>
        <v>0</v>
      </c>
      <c r="J184" s="41">
        <f>J175</f>
        <v>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5213765.75</v>
      </c>
      <c r="G185" s="47">
        <f>G104+G132+G161+G184</f>
        <v>163411.16</v>
      </c>
      <c r="H185" s="47">
        <f>H104+H132+H161+H184</f>
        <v>369290.8</v>
      </c>
      <c r="I185" s="47">
        <f>I104+I132+I161+I184</f>
        <v>0</v>
      </c>
      <c r="J185" s="47">
        <f>J104+J132+J184</f>
        <v>30844.39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719742.97+239590.06+2610+6948.97+11797.49+5830.67</f>
        <v>986520.16</v>
      </c>
      <c r="G189" s="18">
        <f>56210.9+18418.04+53935.4+17398.11+1095+1333.13+795.28+397.76+1476.12+291.45+104+94.5+198.5+1175+191708.75+63373.18+29433.57+6467.73+4395.01+1421.02</f>
        <v>449722.45000000007</v>
      </c>
      <c r="H189" s="18">
        <f>13404.94+355.45+218+93.07+315+5437.93+398+9274.81+3447.07+1191.67+309.4</f>
        <v>34445.339999999997</v>
      </c>
      <c r="I189" s="18">
        <f>7599.77+644+1086.82+1099.48+987.04+836.28+1688+2500+212+511.96+144.91+4547.09+104.88+1600+1671.06+344.79+246.43+36.04+171+197.34+600+281.99+638.86+2000+126.2+1488.39+353.99+825+334.25+201.75+1150.18+827.34+1249.61+1160.91+1174.99+419.66+215.06+277.32+670.58+200+887.81+6894.13+4777.66+59.98+207.03+186.97+277.71+600+10.1</f>
        <v>54326.360000000008</v>
      </c>
      <c r="J189" s="18">
        <f>160.81+242.3+394.57+3524.41+210.89+5948.12+1339.03</f>
        <v>11820.130000000001</v>
      </c>
      <c r="K189" s="18">
        <f>60+90+90</f>
        <v>240</v>
      </c>
      <c r="L189" s="19">
        <f>SUM(F189:K189)</f>
        <v>1537074.4400000002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83117.75+34976.95+55859.64+39642.12+5196+2907.96+1185.75+14223.22</f>
        <v>237109.38999999998</v>
      </c>
      <c r="G190" s="18">
        <f>26433.47+4560.58+514.4+190.18+10892.77+5728.09+6547.51+2619.94+900+300+200+431.28+49.47+1088.15+100+100+68.93+22.98</f>
        <v>60747.750000000015</v>
      </c>
      <c r="H190" s="18">
        <f>84169.91+40124.36+9833.34+9417.34</f>
        <v>143544.95000000001</v>
      </c>
      <c r="I190" s="18">
        <f>519.05+1085.47+426.75</f>
        <v>2031.27</v>
      </c>
      <c r="J190" s="18">
        <v>0</v>
      </c>
      <c r="K190" s="18">
        <v>90.1</v>
      </c>
      <c r="L190" s="19">
        <f>SUM(F190:K190)</f>
        <v>443523.46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>
        <v>0</v>
      </c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6784+9353.38+22700</f>
        <v>38837.379999999997</v>
      </c>
      <c r="G192" s="18">
        <f>485.25+715.58+427.23+30.23+42.32+261.01+1736.55+129.22</f>
        <v>3827.39</v>
      </c>
      <c r="H192" s="18">
        <f>2805+3210-3427.97</f>
        <v>2587.0300000000002</v>
      </c>
      <c r="I192" s="18">
        <f>387.25+1168.41</f>
        <v>1555.66</v>
      </c>
      <c r="J192" s="18">
        <v>106.5</v>
      </c>
      <c r="K192" s="18">
        <v>840</v>
      </c>
      <c r="L192" s="19">
        <f>SUM(F192:K192)</f>
        <v>47753.96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51535.96+10770.98+4474.8+34216.6+14613.24+2765.27+4686.67</f>
        <v>123063.52</v>
      </c>
      <c r="G194" s="18">
        <f>12145.59+1953.76+321.62+135.38+3674.63+1135.67+431.75+3859.94+806.59+79.39+100+163.04+98.94+5180.18+78.23+2617.66+1057+1094.42+97.46+76.37+243.6+412.49+8.61+14.58+202.54+352.03+207.24+350.99-21.42-36.22</f>
        <v>36842.05999999999</v>
      </c>
      <c r="H194" s="18">
        <f>420+247.5+250.15+398.21+132</f>
        <v>1447.86</v>
      </c>
      <c r="I194" s="18">
        <f>1324.37+461</f>
        <v>1785.37</v>
      </c>
      <c r="J194" s="18">
        <f>317+88.6</f>
        <v>405.6</v>
      </c>
      <c r="K194" s="18">
        <f>100+40</f>
        <v>140</v>
      </c>
      <c r="L194" s="19">
        <f t="shared" ref="L194:L200" si="0">SUM(F194:K194)</f>
        <v>163684.40999999997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14415.44+5445.86+15290.04+525</f>
        <v>35676.339999999997</v>
      </c>
      <c r="G195" s="18">
        <f>6415.34+2421.92+93.83+35.45+2200.18+428.97+1080.17+407.69+140.18+92.51+124.78+29.89</f>
        <v>13470.910000000002</v>
      </c>
      <c r="H195" s="18">
        <f>5581.78+425+867+792.1+363.5</f>
        <v>8029.38</v>
      </c>
      <c r="I195" s="18">
        <f>580.63+190.62+1846.76+1466.83</f>
        <v>4084.84</v>
      </c>
      <c r="J195" s="18">
        <v>0</v>
      </c>
      <c r="K195" s="18">
        <v>0</v>
      </c>
      <c r="L195" s="19">
        <f t="shared" si="0"/>
        <v>61261.47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2846</v>
      </c>
      <c r="G196" s="18">
        <v>232</v>
      </c>
      <c r="H196" s="18">
        <f>363+7745+6795-775+3825+161414</f>
        <v>179367</v>
      </c>
      <c r="I196" s="18">
        <v>0</v>
      </c>
      <c r="J196" s="18">
        <v>0</v>
      </c>
      <c r="K196" s="18">
        <v>3018</v>
      </c>
      <c r="L196" s="19">
        <f t="shared" si="0"/>
        <v>185463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69010+22769.5+16206.07+30552.26+9561.54+751.76+225.94+17944.68+6674.9+11307.57+4271.16</f>
        <v>189275.38000000003</v>
      </c>
      <c r="G197" s="18">
        <f>39136+8115.19+727.84+2027.92+707.81+344.79+7214.33+3857.83+2797.82+875.61+5147.29+2911.87+6301+1794.3+200+100+197.88+49.47+5288.86+1953.68+2949.94+1114.35+247.4+92.38+2395.59+897.43+1035.66+391+1336.06+497.6+100+100+148.41+73.95</f>
        <v>101129.26</v>
      </c>
      <c r="H197" s="18">
        <f>1403.19+45+1000+401.15+250+724.6+717.24+113.15+320.2+120.96+750+250+1364.34+300</f>
        <v>7759.83</v>
      </c>
      <c r="I197" s="18">
        <f>1840.85+243.53+100+324.09+5.1</f>
        <v>2513.5700000000002</v>
      </c>
      <c r="J197" s="18">
        <v>0</v>
      </c>
      <c r="K197" s="18">
        <f>789+234+439+250</f>
        <v>1712</v>
      </c>
      <c r="L197" s="19">
        <f t="shared" si="0"/>
        <v>302390.04000000004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59307.98+19669.24+8246.25+1432.08+2791.59+1827.29+1252.71+1709.14</f>
        <v>96236.28</v>
      </c>
      <c r="G199" s="18">
        <f>30562.04+10617.06+300.36+131.3+4591.09+1821.58+5016.51+1932.85+200+100+1484.1+494.7</f>
        <v>57251.590000000004</v>
      </c>
      <c r="H199" s="18">
        <f>2186.03+916.06+432+3566.93+1061.11+3546+1339.6+175+16190.54+12119.78+7234.65+2733.09+1106.63+914.15</f>
        <v>53521.570000000007</v>
      </c>
      <c r="I199" s="18">
        <f>11261.43+5711.69+17119.7+12488.64+910.94+425.66+5886+10455.56</f>
        <v>64259.62</v>
      </c>
      <c r="J199" s="18">
        <f>227.47+838.93+448.5</f>
        <v>1514.8999999999999</v>
      </c>
      <c r="K199" s="18">
        <v>0</v>
      </c>
      <c r="L199" s="19">
        <f t="shared" si="0"/>
        <v>272783.96000000002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75718.17</v>
      </c>
      <c r="I200" s="18"/>
      <c r="J200" s="18"/>
      <c r="K200" s="18"/>
      <c r="L200" s="19">
        <f t="shared" si="0"/>
        <v>75718.17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1709564.4500000002</v>
      </c>
      <c r="G203" s="41">
        <f t="shared" si="1"/>
        <v>723223.41</v>
      </c>
      <c r="H203" s="41">
        <f t="shared" si="1"/>
        <v>506421.13</v>
      </c>
      <c r="I203" s="41">
        <f t="shared" si="1"/>
        <v>130556.69000000003</v>
      </c>
      <c r="J203" s="41">
        <f t="shared" si="1"/>
        <v>13847.130000000001</v>
      </c>
      <c r="K203" s="41">
        <f t="shared" si="1"/>
        <v>6040.1</v>
      </c>
      <c r="L203" s="41">
        <f t="shared" si="1"/>
        <v>3089652.91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578233.26+1098.35+12924.36</f>
        <v>592255.97</v>
      </c>
      <c r="G225" s="18">
        <f>44972.01+44519.83+6876.79+697.28+986.4+950+1450+123552.55+21196.94+4944.88</f>
        <v>250146.68</v>
      </c>
      <c r="H225" s="18">
        <f>4650+25750+822.46+217.18+50+913.88+8043.15+278+1750+1072.88</f>
        <v>43547.549999999996</v>
      </c>
      <c r="I225" s="18">
        <f>3446.07+2371.94+1956.02+144.01+676.81+34+3934.48+2913.83+451+3047.68+96.21+57+2473.59+773.99+311.61+307.41+222.79+749.44+7453.89+66+622.73</f>
        <v>32110.5</v>
      </c>
      <c r="J225" s="18">
        <f>1017.4+922.82+332.1+5014.01+1202.56</f>
        <v>8488.89</v>
      </c>
      <c r="K225" s="18">
        <f>300+480+339+80+90+155</f>
        <v>1444</v>
      </c>
      <c r="L225" s="19">
        <f>SUM(F225:K225)</f>
        <v>927993.59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59579+45446.73+821.16</f>
        <v>105846.89000000001</v>
      </c>
      <c r="G226" s="18">
        <f>6514.25+271.68+7899.9+4467.12+300+148.41</f>
        <v>19601.36</v>
      </c>
      <c r="H226" s="18">
        <f>34631.72+184041.98</f>
        <v>218673.7</v>
      </c>
      <c r="I226" s="18">
        <v>284.85000000000002</v>
      </c>
      <c r="J226" s="18">
        <v>0</v>
      </c>
      <c r="K226" s="18">
        <v>439.9</v>
      </c>
      <c r="L226" s="19">
        <f>SUM(F226:K226)</f>
        <v>344846.7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16870.16</v>
      </c>
      <c r="I227" s="18"/>
      <c r="J227" s="18"/>
      <c r="K227" s="18"/>
      <c r="L227" s="19">
        <f>SUM(F227:K227)</f>
        <v>16870.16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31729.56</v>
      </c>
      <c r="G228" s="18">
        <f>2427.34+233.67+1261.44</f>
        <v>3922.4500000000003</v>
      </c>
      <c r="H228" s="18">
        <f>11116+676.67+217</f>
        <v>12009.67</v>
      </c>
      <c r="I228" s="18">
        <f>5548.74+245.95+250</f>
        <v>6044.69</v>
      </c>
      <c r="J228" s="18">
        <v>0</v>
      </c>
      <c r="K228" s="18">
        <v>2245</v>
      </c>
      <c r="L228" s="19">
        <f>SUM(F228:K228)</f>
        <v>55951.37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25132.29+10556.7+34097.57+986.65</f>
        <v>70773.209999999992</v>
      </c>
      <c r="G230" s="18">
        <f>4560.49+315.94+2659.36+1032.51+1882.47+200+197.88+12086.95+182.53+2465.82+2553.99+94.05+138.33+86.76+3.07+74.04+73.8</f>
        <v>28607.989999999994</v>
      </c>
      <c r="H230" s="18">
        <f>247.5+250.15+439+1056</f>
        <v>1992.65</v>
      </c>
      <c r="I230" s="18">
        <f>154+101.61+636.67+329.59</f>
        <v>1221.8699999999999</v>
      </c>
      <c r="J230" s="18">
        <v>0</v>
      </c>
      <c r="K230" s="18">
        <v>26</v>
      </c>
      <c r="L230" s="19">
        <f t="shared" ref="L230:L236" si="4">SUM(F230:K230)</f>
        <v>102621.71999999997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12173.1+1225</f>
        <v>13398.1</v>
      </c>
      <c r="G231" s="18">
        <f>5415.18+79.23+963.26+911.6+83.26+59.69</f>
        <v>7512.22</v>
      </c>
      <c r="H231" s="18">
        <f>1306.04+1208.6+120.54</f>
        <v>2635.18</v>
      </c>
      <c r="I231" s="18">
        <f>227.63+3446.34</f>
        <v>3673.9700000000003</v>
      </c>
      <c r="J231" s="18">
        <v>0</v>
      </c>
      <c r="K231" s="18">
        <v>0</v>
      </c>
      <c r="L231" s="19">
        <f t="shared" si="4"/>
        <v>27219.47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1744</v>
      </c>
      <c r="G232" s="18">
        <v>119.21</v>
      </c>
      <c r="H232" s="18">
        <f>98931.16+187+4746.84+4164-475+2344.99</f>
        <v>109898.99</v>
      </c>
      <c r="I232" s="18">
        <v>0</v>
      </c>
      <c r="J232" s="18">
        <v>0</v>
      </c>
      <c r="K232" s="18">
        <v>1849.75</v>
      </c>
      <c r="L232" s="19">
        <f t="shared" si="4"/>
        <v>113611.95000000001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53128.94+37814.16+22310.26+552.99+15217.78+9548.21</f>
        <v>138572.34</v>
      </c>
      <c r="G233" s="18">
        <f>18942.63+4731.55+804.48+9006.33+2043.12+6796.05+4186.7+200+98.94+4503.93+2491.01+209.61+2027.95+874.18+1134.12+100+138.5</f>
        <v>58289.100000000006</v>
      </c>
      <c r="H233" s="18">
        <f>206.64+499.15+413.28+264.35+238.09+257.31+405</f>
        <v>2283.8199999999997</v>
      </c>
      <c r="I233" s="18">
        <f>388.22+180.13</f>
        <v>568.35</v>
      </c>
      <c r="J233" s="18">
        <v>0</v>
      </c>
      <c r="K233" s="18">
        <f>480+125</f>
        <v>605</v>
      </c>
      <c r="L233" s="19">
        <f t="shared" si="4"/>
        <v>200318.61000000002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4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45977.26+3669.93+2372.25+3795.46</f>
        <v>55814.9</v>
      </c>
      <c r="G235" s="18">
        <f>24763.12+306.7+4123.34+4508.37+195+1385.16</f>
        <v>35281.69</v>
      </c>
      <c r="H235" s="18">
        <f>1868.53+2172.89+2994.4+27731.45+6109.26+2133.03</f>
        <v>43009.560000000005</v>
      </c>
      <c r="I235" s="18">
        <f>13678.69+29139.25+993.24+24396.25</f>
        <v>68207.429999999993</v>
      </c>
      <c r="J235" s="18">
        <f>4402.5+1021.5</f>
        <v>5424</v>
      </c>
      <c r="K235" s="18">
        <v>0</v>
      </c>
      <c r="L235" s="19">
        <f>SUM(F235:K235)</f>
        <v>207737.58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91139.37</v>
      </c>
      <c r="I236" s="18"/>
      <c r="J236" s="18"/>
      <c r="K236" s="18"/>
      <c r="L236" s="19">
        <f t="shared" si="4"/>
        <v>91139.37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1010134.97</v>
      </c>
      <c r="G239" s="41">
        <f t="shared" si="5"/>
        <v>403480.7</v>
      </c>
      <c r="H239" s="41">
        <f t="shared" si="5"/>
        <v>542060.64999999991</v>
      </c>
      <c r="I239" s="41">
        <f t="shared" si="5"/>
        <v>112111.66</v>
      </c>
      <c r="J239" s="41">
        <f t="shared" si="5"/>
        <v>13912.89</v>
      </c>
      <c r="K239" s="41">
        <f t="shared" si="5"/>
        <v>6609.65</v>
      </c>
      <c r="L239" s="41">
        <f t="shared" si="5"/>
        <v>2088310.52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66339.16</v>
      </c>
      <c r="I247" s="18"/>
      <c r="J247" s="18"/>
      <c r="K247" s="18"/>
      <c r="L247" s="19">
        <f t="shared" si="6"/>
        <v>66339.16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66339.16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66339.16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2719699.42</v>
      </c>
      <c r="G249" s="41">
        <f t="shared" si="8"/>
        <v>1126704.1100000001</v>
      </c>
      <c r="H249" s="41">
        <f t="shared" si="8"/>
        <v>1114820.94</v>
      </c>
      <c r="I249" s="41">
        <f t="shared" si="8"/>
        <v>242668.35000000003</v>
      </c>
      <c r="J249" s="41">
        <f t="shared" si="8"/>
        <v>27760.02</v>
      </c>
      <c r="K249" s="41">
        <f t="shared" si="8"/>
        <v>12649.75</v>
      </c>
      <c r="L249" s="41">
        <f t="shared" si="8"/>
        <v>5244302.59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28571.43</v>
      </c>
      <c r="L252" s="19">
        <f>SUM(F252:K252)</f>
        <v>28571.43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18327.63</v>
      </c>
      <c r="L255" s="19">
        <f>SUM(F255:K255)</f>
        <v>18327.63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</v>
      </c>
      <c r="L258" s="19">
        <f t="shared" si="9"/>
        <v>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76899.06</v>
      </c>
      <c r="L262" s="41">
        <f t="shared" si="9"/>
        <v>76899.06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2719699.42</v>
      </c>
      <c r="G263" s="42">
        <f t="shared" si="11"/>
        <v>1126704.1100000001</v>
      </c>
      <c r="H263" s="42">
        <f t="shared" si="11"/>
        <v>1114820.94</v>
      </c>
      <c r="I263" s="42">
        <f t="shared" si="11"/>
        <v>242668.35000000003</v>
      </c>
      <c r="J263" s="42">
        <f t="shared" si="11"/>
        <v>27760.02</v>
      </c>
      <c r="K263" s="42">
        <f t="shared" si="11"/>
        <v>89548.81</v>
      </c>
      <c r="L263" s="42">
        <f t="shared" si="11"/>
        <v>5321201.6499999994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19997.62+8570.38+809.2+1300+133284.58+93+5300+325.5</f>
        <v>169680.28</v>
      </c>
      <c r="G268" s="18">
        <f>182.45+78.19+1529.83+655.47+1498.11+641.69+61.91+99.45+97.37+13264.25+644.44+10214.76+7905.08+405.48+284.64+24.9</f>
        <v>37588.020000000004</v>
      </c>
      <c r="H268" s="18">
        <f>199+13586.2+162.66+77.46+331+292.95+825+3025-4053.6</f>
        <v>14445.67</v>
      </c>
      <c r="I268" s="18">
        <f>286.97+899.96+1500+216.48</f>
        <v>2903.4100000000003</v>
      </c>
      <c r="J268" s="18">
        <f>55504+1325</f>
        <v>56829</v>
      </c>
      <c r="K268" s="18">
        <v>66.47</v>
      </c>
      <c r="L268" s="19">
        <f>SUM(F268:K268)</f>
        <v>281512.84999999998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v>9999.2000000000007</v>
      </c>
      <c r="J269" s="18">
        <v>9556</v>
      </c>
      <c r="K269" s="18"/>
      <c r="L269" s="19">
        <f>SUM(F269:K269)</f>
        <v>19555.2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f>4966.5+755</f>
        <v>5721.5</v>
      </c>
      <c r="J280" s="18"/>
      <c r="K280" s="18"/>
      <c r="L280" s="19">
        <f>SUM(F280:K280)</f>
        <v>5721.5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169680.28</v>
      </c>
      <c r="G282" s="42">
        <f t="shared" si="13"/>
        <v>37588.020000000004</v>
      </c>
      <c r="H282" s="42">
        <f t="shared" si="13"/>
        <v>14445.67</v>
      </c>
      <c r="I282" s="42">
        <f t="shared" si="13"/>
        <v>18624.11</v>
      </c>
      <c r="J282" s="42">
        <f t="shared" si="13"/>
        <v>66385</v>
      </c>
      <c r="K282" s="42">
        <f t="shared" si="13"/>
        <v>66.47</v>
      </c>
      <c r="L282" s="41">
        <f t="shared" si="13"/>
        <v>306789.55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1693.75+2237+1737+1000+100</f>
        <v>6767.75</v>
      </c>
      <c r="G306" s="18">
        <f>129.58+41.2+171.13+132.88+130.12+76.5+74.9+7.66</f>
        <v>763.97</v>
      </c>
      <c r="H306" s="18">
        <f>4343+32565+1612+3060+145.2+31</f>
        <v>41756.199999999997</v>
      </c>
      <c r="I306" s="18">
        <f>944.92+4399.56+585+685.93+1254.51</f>
        <v>7869.920000000001</v>
      </c>
      <c r="J306" s="18">
        <v>5343.41</v>
      </c>
      <c r="K306" s="18"/>
      <c r="L306" s="19">
        <f>SUM(F306:K306)</f>
        <v>62501.25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6767.75</v>
      </c>
      <c r="G320" s="42">
        <f t="shared" si="17"/>
        <v>763.97</v>
      </c>
      <c r="H320" s="42">
        <f t="shared" si="17"/>
        <v>41756.199999999997</v>
      </c>
      <c r="I320" s="42">
        <f t="shared" si="17"/>
        <v>7869.920000000001</v>
      </c>
      <c r="J320" s="42">
        <f t="shared" si="17"/>
        <v>5343.41</v>
      </c>
      <c r="K320" s="42">
        <f t="shared" si="17"/>
        <v>0</v>
      </c>
      <c r="L320" s="41">
        <f t="shared" si="17"/>
        <v>62501.25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176448.03</v>
      </c>
      <c r="G330" s="41">
        <f t="shared" si="20"/>
        <v>38351.990000000005</v>
      </c>
      <c r="H330" s="41">
        <f t="shared" si="20"/>
        <v>56201.869999999995</v>
      </c>
      <c r="I330" s="41">
        <f t="shared" si="20"/>
        <v>26494.030000000002</v>
      </c>
      <c r="J330" s="41">
        <f t="shared" si="20"/>
        <v>71728.41</v>
      </c>
      <c r="K330" s="41">
        <f t="shared" si="20"/>
        <v>66.47</v>
      </c>
      <c r="L330" s="41">
        <f t="shared" si="20"/>
        <v>369290.8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176448.03</v>
      </c>
      <c r="G344" s="41">
        <f>G330</f>
        <v>38351.990000000005</v>
      </c>
      <c r="H344" s="41">
        <f>H330</f>
        <v>56201.869999999995</v>
      </c>
      <c r="I344" s="41">
        <f>I330</f>
        <v>26494.030000000002</v>
      </c>
      <c r="J344" s="41">
        <f>J330</f>
        <v>71728.41</v>
      </c>
      <c r="K344" s="47">
        <f>K330+K343</f>
        <v>66.47</v>
      </c>
      <c r="L344" s="41">
        <f>L330+L343</f>
        <v>369290.8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43664+1492</f>
        <v>45156</v>
      </c>
      <c r="G350" s="18">
        <f>8635+117+3405+1010+248+920</f>
        <v>14335</v>
      </c>
      <c r="H350" s="18">
        <f>970+19</f>
        <v>989</v>
      </c>
      <c r="I350" s="18">
        <f>37494+1316</f>
        <v>38810</v>
      </c>
      <c r="J350" s="18">
        <f>447+1409</f>
        <v>1856</v>
      </c>
      <c r="K350" s="18">
        <v>0</v>
      </c>
      <c r="L350" s="13">
        <f>SUM(F350:K350)</f>
        <v>101146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26762.1+914.38</f>
        <v>27676.48</v>
      </c>
      <c r="G352" s="18">
        <f>5291.9+71.28+2086.61+619.8+152+564.1</f>
        <v>8785.69</v>
      </c>
      <c r="H352" s="18">
        <f>594.01+12.25</f>
        <v>606.26</v>
      </c>
      <c r="I352" s="18">
        <f>23253.54+806.6</f>
        <v>24060.14</v>
      </c>
      <c r="J352" s="18">
        <f>273.3+863.29</f>
        <v>1136.5899999999999</v>
      </c>
      <c r="K352" s="18">
        <v>0</v>
      </c>
      <c r="L352" s="19">
        <f>SUM(F352:K352)</f>
        <v>62265.159999999996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72832.479999999996</v>
      </c>
      <c r="G354" s="47">
        <f t="shared" si="22"/>
        <v>23120.690000000002</v>
      </c>
      <c r="H354" s="47">
        <f t="shared" si="22"/>
        <v>1595.26</v>
      </c>
      <c r="I354" s="47">
        <f t="shared" si="22"/>
        <v>62870.14</v>
      </c>
      <c r="J354" s="47">
        <f t="shared" si="22"/>
        <v>2992.59</v>
      </c>
      <c r="K354" s="47">
        <f t="shared" si="22"/>
        <v>0</v>
      </c>
      <c r="L354" s="47">
        <f t="shared" si="22"/>
        <v>163411.16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37494</v>
      </c>
      <c r="G359" s="18"/>
      <c r="H359" s="18">
        <v>23253.54</v>
      </c>
      <c r="I359" s="56">
        <f>SUM(F359:H359)</f>
        <v>60747.54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1316</v>
      </c>
      <c r="G360" s="63"/>
      <c r="H360" s="63">
        <v>806.6</v>
      </c>
      <c r="I360" s="56">
        <f>SUM(F360:H360)</f>
        <v>2122.6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38810</v>
      </c>
      <c r="G361" s="47">
        <f>SUM(G359:G360)</f>
        <v>0</v>
      </c>
      <c r="H361" s="47">
        <f>SUM(H359:H360)</f>
        <v>24060.14</v>
      </c>
      <c r="I361" s="47">
        <f>SUM(I359:I360)</f>
        <v>62870.14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30000</v>
      </c>
      <c r="H388" s="18">
        <v>447.5</v>
      </c>
      <c r="I388" s="18"/>
      <c r="J388" s="24" t="s">
        <v>312</v>
      </c>
      <c r="K388" s="24" t="s">
        <v>312</v>
      </c>
      <c r="L388" s="56">
        <f t="shared" si="26"/>
        <v>30447.5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396.89</v>
      </c>
      <c r="I389" s="18"/>
      <c r="J389" s="24" t="s">
        <v>312</v>
      </c>
      <c r="K389" s="24" t="s">
        <v>312</v>
      </c>
      <c r="L389" s="56">
        <f t="shared" si="26"/>
        <v>396.89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30000</v>
      </c>
      <c r="H393" s="47">
        <f>SUM(H387:H392)</f>
        <v>844.39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30844.39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</v>
      </c>
      <c r="H400" s="47">
        <f>H385+H393+H399</f>
        <v>844.39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30844.39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302405.03999999998</v>
      </c>
      <c r="H431" s="18"/>
      <c r="I431" s="56">
        <f t="shared" ref="I431:I437" si="33">SUM(F431:H431)</f>
        <v>302405.03999999998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302405.03999999998</v>
      </c>
      <c r="H438" s="13">
        <f>SUM(H431:H437)</f>
        <v>0</v>
      </c>
      <c r="I438" s="13">
        <f>SUM(I431:I437)</f>
        <v>302405.03999999998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302405.03999999998</v>
      </c>
      <c r="H447" s="18"/>
      <c r="I447" s="56">
        <f>SUM(F447:H447)</f>
        <v>302405.03999999998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302405.03999999998</v>
      </c>
      <c r="H450" s="83">
        <f>SUM(H446:H449)</f>
        <v>0</v>
      </c>
      <c r="I450" s="83">
        <f>SUM(I446:I449)</f>
        <v>302405.03999999998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302405.03999999998</v>
      </c>
      <c r="H451" s="42">
        <f>H444+H450</f>
        <v>0</v>
      </c>
      <c r="I451" s="42">
        <f>I444+I450</f>
        <v>302405.03999999998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155966.42000000001</v>
      </c>
      <c r="G455" s="18"/>
      <c r="H455" s="18"/>
      <c r="I455" s="18"/>
      <c r="J455" s="18">
        <v>271560.65000000002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5221171.47-7405.72</f>
        <v>5213765.75</v>
      </c>
      <c r="G458" s="18">
        <v>163411.16</v>
      </c>
      <c r="H458" s="18">
        <v>369290.8</v>
      </c>
      <c r="I458" s="18"/>
      <c r="J458" s="18">
        <v>30844.39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5213765.75</v>
      </c>
      <c r="G460" s="53">
        <f>SUM(G458:G459)</f>
        <v>163411.16</v>
      </c>
      <c r="H460" s="53">
        <f>SUM(H458:H459)</f>
        <v>369290.8</v>
      </c>
      <c r="I460" s="53">
        <f>SUM(I458:I459)</f>
        <v>0</v>
      </c>
      <c r="J460" s="53">
        <f>SUM(J458:J459)</f>
        <v>30844.39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5321201.6500000004</v>
      </c>
      <c r="G462" s="18">
        <v>163411.16</v>
      </c>
      <c r="H462" s="18">
        <v>369290.8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5321201.6500000004</v>
      </c>
      <c r="G464" s="53">
        <f>SUM(G462:G463)</f>
        <v>163411.16</v>
      </c>
      <c r="H464" s="53">
        <f>SUM(H462:H463)</f>
        <v>369290.8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48530.519999999553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302405.04000000004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14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400000</v>
      </c>
      <c r="G483" s="18">
        <v>225501.31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0</v>
      </c>
      <c r="G484" s="18">
        <v>5.39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171428.56</v>
      </c>
      <c r="G485" s="18">
        <v>175000</v>
      </c>
      <c r="H485" s="18"/>
      <c r="I485" s="18"/>
      <c r="J485" s="18"/>
      <c r="K485" s="53">
        <f>SUM(F485:J485)</f>
        <v>346428.56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28571.43</v>
      </c>
      <c r="G487" s="18">
        <v>0</v>
      </c>
      <c r="H487" s="18"/>
      <c r="I487" s="18"/>
      <c r="J487" s="18"/>
      <c r="K487" s="53">
        <f t="shared" si="34"/>
        <v>28571.43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142857.13</v>
      </c>
      <c r="G488" s="205">
        <v>175000</v>
      </c>
      <c r="H488" s="205"/>
      <c r="I488" s="205"/>
      <c r="J488" s="205"/>
      <c r="K488" s="206">
        <f t="shared" si="34"/>
        <v>317857.13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50501.31</v>
      </c>
      <c r="H489" s="18"/>
      <c r="I489" s="18"/>
      <c r="J489" s="18"/>
      <c r="K489" s="53">
        <f t="shared" si="34"/>
        <v>50501.31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142857.13</v>
      </c>
      <c r="G490" s="42">
        <f>SUM(G488:G489)</f>
        <v>225501.31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368358.44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28571.43</v>
      </c>
      <c r="G491" s="205">
        <v>0</v>
      </c>
      <c r="H491" s="205"/>
      <c r="I491" s="205"/>
      <c r="J491" s="205"/>
      <c r="K491" s="206">
        <f t="shared" si="34"/>
        <v>28571.43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6707.56</v>
      </c>
      <c r="H492" s="18"/>
      <c r="I492" s="18"/>
      <c r="J492" s="18"/>
      <c r="K492" s="53">
        <f t="shared" si="34"/>
        <v>6707.56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28571.43</v>
      </c>
      <c r="G493" s="42">
        <f>SUM(G491:G492)</f>
        <v>6707.56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35278.99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83117.75+34976.95+55859.64+39642.12+5196+2907.96+1185.75</f>
        <v>222886.16999999998</v>
      </c>
      <c r="G511" s="18">
        <f>26433.47+4560.58+514.4+190.18+10892.77+5728.09+6547.51+2619.94+900+300+200+431.28+49.47</f>
        <v>59367.69000000001</v>
      </c>
      <c r="H511" s="18">
        <f>9833.34+9417.34</f>
        <v>19250.68</v>
      </c>
      <c r="I511" s="18">
        <f>519.05+1085.47+426.75</f>
        <v>2031.27</v>
      </c>
      <c r="J511" s="18">
        <v>0</v>
      </c>
      <c r="K511" s="18">
        <v>90.1</v>
      </c>
      <c r="L511" s="88">
        <f>SUM(F511:K511)</f>
        <v>303625.90999999997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59579+45446.73+821.16</f>
        <v>105846.89000000001</v>
      </c>
      <c r="G513" s="18">
        <f>6514.25+271.68+7899.9+4467.12+300+148.41</f>
        <v>19601.36</v>
      </c>
      <c r="H513" s="18">
        <v>184041.98</v>
      </c>
      <c r="I513" s="18">
        <v>284.85000000000002</v>
      </c>
      <c r="J513" s="18">
        <v>0</v>
      </c>
      <c r="K513" s="18">
        <v>439.9</v>
      </c>
      <c r="L513" s="88">
        <f>SUM(F513:K513)</f>
        <v>310214.98000000004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328733.06</v>
      </c>
      <c r="G514" s="108">
        <f t="shared" ref="G514:L514" si="35">SUM(G511:G513)</f>
        <v>78969.050000000017</v>
      </c>
      <c r="H514" s="108">
        <f t="shared" si="35"/>
        <v>203292.66</v>
      </c>
      <c r="I514" s="108">
        <f t="shared" si="35"/>
        <v>2316.12</v>
      </c>
      <c r="J514" s="108">
        <f t="shared" si="35"/>
        <v>0</v>
      </c>
      <c r="K514" s="108">
        <f t="shared" si="35"/>
        <v>530</v>
      </c>
      <c r="L514" s="89">
        <f t="shared" si="35"/>
        <v>613840.89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14223.22</v>
      </c>
      <c r="G516" s="18">
        <f>1088.15+200+68.93+22.98</f>
        <v>1380.0600000000002</v>
      </c>
      <c r="H516" s="18">
        <f>84169.91+40124.36</f>
        <v>124294.27</v>
      </c>
      <c r="I516" s="18"/>
      <c r="J516" s="18"/>
      <c r="K516" s="18"/>
      <c r="L516" s="88">
        <f>SUM(F516:K516)</f>
        <v>139897.54999999999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34631.72</v>
      </c>
      <c r="I518" s="18"/>
      <c r="J518" s="18"/>
      <c r="K518" s="18"/>
      <c r="L518" s="88">
        <f>SUM(F518:K518)</f>
        <v>34631.72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14223.22</v>
      </c>
      <c r="G519" s="89">
        <f t="shared" ref="G519:L519" si="36">SUM(G516:G518)</f>
        <v>1380.0600000000002</v>
      </c>
      <c r="H519" s="89">
        <f t="shared" si="36"/>
        <v>158925.99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174529.27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17944.68+6674.9+11307.57+4271.16</f>
        <v>40198.31</v>
      </c>
      <c r="G521" s="18">
        <f>5288.86+1953.68+2949.94+1114.35+247.4+92.38+2395.59+897.43+1035.66+391+1336.06+497.6+200+148.41+73.95</f>
        <v>18622.309999999998</v>
      </c>
      <c r="H521" s="18">
        <f>320.2+120.96+750+250+1364.34+300</f>
        <v>3105.5</v>
      </c>
      <c r="I521" s="18">
        <f>324.09+5.1</f>
        <v>329.19</v>
      </c>
      <c r="J521" s="18">
        <v>0</v>
      </c>
      <c r="K521" s="18">
        <f>439+250</f>
        <v>689</v>
      </c>
      <c r="L521" s="88">
        <f>SUM(F521:K521)</f>
        <v>62944.31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15217.78+9548.21</f>
        <v>24765.989999999998</v>
      </c>
      <c r="G523" s="18">
        <f>4503.93+2491.01+209.61+2027.95+874.18+1134.12+100+138.5</f>
        <v>11479.3</v>
      </c>
      <c r="H523" s="18">
        <f>238.09+257.31+405</f>
        <v>900.4</v>
      </c>
      <c r="I523" s="18">
        <v>180.13</v>
      </c>
      <c r="J523" s="18">
        <v>0</v>
      </c>
      <c r="K523" s="18">
        <v>125</v>
      </c>
      <c r="L523" s="88">
        <f>SUM(F523:K523)</f>
        <v>37450.819999999992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64964.299999999996</v>
      </c>
      <c r="G524" s="89">
        <f t="shared" ref="G524:L524" si="37">SUM(G521:G523)</f>
        <v>30101.609999999997</v>
      </c>
      <c r="H524" s="89">
        <f t="shared" si="37"/>
        <v>4005.9</v>
      </c>
      <c r="I524" s="89">
        <f t="shared" si="37"/>
        <v>509.32</v>
      </c>
      <c r="J524" s="89">
        <f t="shared" si="37"/>
        <v>0</v>
      </c>
      <c r="K524" s="89">
        <f t="shared" si="37"/>
        <v>814</v>
      </c>
      <c r="L524" s="89">
        <f t="shared" si="37"/>
        <v>100395.12999999999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3435.24+4119.18</f>
        <v>7554.42</v>
      </c>
      <c r="I531" s="18"/>
      <c r="J531" s="18"/>
      <c r="K531" s="18"/>
      <c r="L531" s="88">
        <f>SUM(F531:K531)</f>
        <v>7554.42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1106.31</v>
      </c>
      <c r="I533" s="18"/>
      <c r="J533" s="18"/>
      <c r="K533" s="18"/>
      <c r="L533" s="88">
        <f>SUM(F533:K533)</f>
        <v>1106.31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8660.73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8660.73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407920.57999999996</v>
      </c>
      <c r="G535" s="89">
        <f t="shared" ref="G535:L535" si="40">G514+G519+G524+G529+G534</f>
        <v>110450.72000000002</v>
      </c>
      <c r="H535" s="89">
        <f t="shared" si="40"/>
        <v>374885.28</v>
      </c>
      <c r="I535" s="89">
        <f t="shared" si="40"/>
        <v>2825.44</v>
      </c>
      <c r="J535" s="89">
        <f t="shared" si="40"/>
        <v>0</v>
      </c>
      <c r="K535" s="89">
        <f t="shared" si="40"/>
        <v>1344</v>
      </c>
      <c r="L535" s="89">
        <f t="shared" si="40"/>
        <v>897426.02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303625.90999999997</v>
      </c>
      <c r="G539" s="87">
        <f>L516</f>
        <v>139897.54999999999</v>
      </c>
      <c r="H539" s="87">
        <f>L521</f>
        <v>62944.31</v>
      </c>
      <c r="I539" s="87">
        <f>L526</f>
        <v>0</v>
      </c>
      <c r="J539" s="87">
        <f>L531</f>
        <v>7554.42</v>
      </c>
      <c r="K539" s="87">
        <f>SUM(F539:J539)</f>
        <v>514022.18999999994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310214.98000000004</v>
      </c>
      <c r="G541" s="87">
        <f>L518</f>
        <v>34631.72</v>
      </c>
      <c r="H541" s="87">
        <f>L523</f>
        <v>37450.819999999992</v>
      </c>
      <c r="I541" s="87">
        <f>L528</f>
        <v>0</v>
      </c>
      <c r="J541" s="87">
        <f>L533</f>
        <v>1106.31</v>
      </c>
      <c r="K541" s="87">
        <f>SUM(F541:J541)</f>
        <v>383403.83000000007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613840.89</v>
      </c>
      <c r="G542" s="89">
        <f t="shared" si="41"/>
        <v>174529.27</v>
      </c>
      <c r="H542" s="89">
        <f t="shared" si="41"/>
        <v>100395.12999999999</v>
      </c>
      <c r="I542" s="89">
        <f t="shared" si="41"/>
        <v>0</v>
      </c>
      <c r="J542" s="89">
        <f t="shared" si="41"/>
        <v>8660.73</v>
      </c>
      <c r="K542" s="89">
        <f t="shared" si="41"/>
        <v>897426.02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9833.34+9417.34</f>
        <v>19250.68</v>
      </c>
      <c r="G569" s="18"/>
      <c r="H569" s="18">
        <v>184041.98</v>
      </c>
      <c r="I569" s="87">
        <f t="shared" si="46"/>
        <v>203292.66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16870.16</v>
      </c>
      <c r="I574" s="87">
        <f t="shared" si="46"/>
        <v>16870.16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50264</v>
      </c>
      <c r="I581" s="18"/>
      <c r="J581" s="18">
        <v>32136</v>
      </c>
      <c r="K581" s="104">
        <f t="shared" ref="K581:K587" si="47">SUM(H581:J581)</f>
        <v>82400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3435.24+4119.18</f>
        <v>7554.42</v>
      </c>
      <c r="I582" s="18"/>
      <c r="J582" s="18">
        <v>1106.31</v>
      </c>
      <c r="K582" s="104">
        <f t="shared" si="47"/>
        <v>8660.73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40000</v>
      </c>
      <c r="K583" s="104">
        <f t="shared" si="47"/>
        <v>40000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4689.61+2972.39</f>
        <v>7662</v>
      </c>
      <c r="I584" s="18"/>
      <c r="J584" s="18">
        <v>13068</v>
      </c>
      <c r="K584" s="104">
        <f t="shared" si="47"/>
        <v>20730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8035.65+2202.1</f>
        <v>10237.75</v>
      </c>
      <c r="I585" s="18"/>
      <c r="J585" s="18">
        <v>4829.0600000000004</v>
      </c>
      <c r="K585" s="104">
        <f t="shared" si="47"/>
        <v>15066.810000000001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75718.17</v>
      </c>
      <c r="I588" s="108">
        <f>SUM(I581:I587)</f>
        <v>0</v>
      </c>
      <c r="J588" s="108">
        <f>SUM(J581:J587)</f>
        <v>91139.37</v>
      </c>
      <c r="K588" s="108">
        <f>SUM(K581:K587)</f>
        <v>166857.53999999998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160.81+242.3+394.57+3524.41+210.89+5948.12+1339.03+106.5+317+88.6+227.47+838.93+448.5+55504+9556+1325</f>
        <v>80232.13</v>
      </c>
      <c r="I594" s="18"/>
      <c r="J594" s="18">
        <f>1017.4+922.82+332.1+5014.01+1202.56+4402.5+1021.5+5343.41</f>
        <v>19256.3</v>
      </c>
      <c r="K594" s="104">
        <f>SUM(H594:J594)</f>
        <v>99488.430000000008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80232.13</v>
      </c>
      <c r="I595" s="108">
        <f>SUM(I592:I594)</f>
        <v>0</v>
      </c>
      <c r="J595" s="108">
        <f>SUM(J592:J594)</f>
        <v>19256.3</v>
      </c>
      <c r="K595" s="108">
        <f>SUM(K592:K594)</f>
        <v>99488.430000000008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216346.28</v>
      </c>
      <c r="H607" s="109">
        <f>SUM(F44)</f>
        <v>216346.27999999997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12323.359999999999</v>
      </c>
      <c r="H608" s="109">
        <f>SUM(G44)</f>
        <v>12323.359999999999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212598.25</v>
      </c>
      <c r="H609" s="109">
        <f>SUM(H44)</f>
        <v>212598.25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302405.03999999998</v>
      </c>
      <c r="H611" s="109">
        <f>SUM(J44)</f>
        <v>302405.03999999998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48530.52</v>
      </c>
      <c r="H612" s="109">
        <f>F466</f>
        <v>48530.519999999553</v>
      </c>
      <c r="I612" s="121" t="s">
        <v>106</v>
      </c>
      <c r="J612" s="109">
        <f t="shared" ref="J612:J645" si="49">G612-H612</f>
        <v>4.4383341446518898E-10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302405.03999999998</v>
      </c>
      <c r="H616" s="109">
        <f>J466</f>
        <v>302405.04000000004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5213765.75</v>
      </c>
      <c r="H617" s="104">
        <f>SUM(F458)</f>
        <v>5213765.75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163411.16</v>
      </c>
      <c r="H618" s="104">
        <f>SUM(G458)</f>
        <v>163411.16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369290.8</v>
      </c>
      <c r="H619" s="104">
        <f>SUM(H458)</f>
        <v>369290.8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30844.39</v>
      </c>
      <c r="H621" s="104">
        <f>SUM(J458)</f>
        <v>30844.39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5321201.6499999994</v>
      </c>
      <c r="H622" s="104">
        <f>SUM(F462)</f>
        <v>5321201.6500000004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369290.8</v>
      </c>
      <c r="H623" s="104">
        <f>SUM(H462)</f>
        <v>369290.8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62870.14</v>
      </c>
      <c r="H624" s="104">
        <f>I361</f>
        <v>62870.14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163411.16</v>
      </c>
      <c r="H625" s="104">
        <f>SUM(G462)</f>
        <v>163411.16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30844.39</v>
      </c>
      <c r="H627" s="164">
        <f>SUM(J458)</f>
        <v>30844.39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302405.03999999998</v>
      </c>
      <c r="H630" s="104">
        <f>SUM(G451)</f>
        <v>302405.03999999998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302405.03999999998</v>
      </c>
      <c r="H632" s="104">
        <f>SUM(I451)</f>
        <v>302405.03999999998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844.39</v>
      </c>
      <c r="H634" s="104">
        <f>H400</f>
        <v>844.39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</v>
      </c>
      <c r="H635" s="104">
        <f>G400</f>
        <v>30000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30844.39</v>
      </c>
      <c r="H636" s="104">
        <f>L400</f>
        <v>30844.39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166857.53999999998</v>
      </c>
      <c r="H637" s="104">
        <f>L200+L218+L236</f>
        <v>166857.53999999998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99488.430000000008</v>
      </c>
      <c r="H638" s="104">
        <f>(J249+J330)-(J247+J328)</f>
        <v>99488.430000000008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75718.17</v>
      </c>
      <c r="H639" s="104">
        <f>H588</f>
        <v>75718.17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91139.37</v>
      </c>
      <c r="H641" s="104">
        <f>J588</f>
        <v>91139.37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18327.63</v>
      </c>
      <c r="H642" s="104">
        <f>K255+K337</f>
        <v>18327.63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</v>
      </c>
      <c r="H645" s="104">
        <f>K258+K339</f>
        <v>30000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3497588.46</v>
      </c>
      <c r="G650" s="19">
        <f>(L221+L301+L351)</f>
        <v>0</v>
      </c>
      <c r="H650" s="19">
        <f>(L239+L320+L352)</f>
        <v>2213076.9300000002</v>
      </c>
      <c r="I650" s="19">
        <f>SUM(F650:H650)</f>
        <v>5710665.3900000006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38733.907913510928</v>
      </c>
      <c r="G651" s="19">
        <f>(L351/IF(SUM(L350:L352)=0,1,SUM(L350:L352))*(SUM(G89:G102)))</f>
        <v>0</v>
      </c>
      <c r="H651" s="19">
        <f>(L352/IF(SUM(L350:L352)=0,1,SUM(L350:L352))*(SUM(G89:G102)))</f>
        <v>23844.472086489073</v>
      </c>
      <c r="I651" s="19">
        <f>SUM(F651:H651)</f>
        <v>62578.380000000005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75718.17</v>
      </c>
      <c r="G652" s="19">
        <f>(L218+L298)-(J218+J298)</f>
        <v>0</v>
      </c>
      <c r="H652" s="19">
        <f>(L236+L317)-(J236+J317)</f>
        <v>91139.37</v>
      </c>
      <c r="I652" s="19">
        <f>SUM(F652:H652)</f>
        <v>166857.53999999998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99482.81</v>
      </c>
      <c r="G653" s="200">
        <f>SUM(G565:G577)+SUM(I592:I594)+L602</f>
        <v>0</v>
      </c>
      <c r="H653" s="200">
        <f>SUM(H565:H577)+SUM(J592:J594)+L603</f>
        <v>220168.44</v>
      </c>
      <c r="I653" s="19">
        <f>SUM(F653:H653)</f>
        <v>319651.25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3283653.5720864888</v>
      </c>
      <c r="G654" s="19">
        <f>G650-SUM(G651:G653)</f>
        <v>0</v>
      </c>
      <c r="H654" s="19">
        <f>H650-SUM(H651:H653)</f>
        <v>1877924.6479135111</v>
      </c>
      <c r="I654" s="19">
        <f>I650-SUM(I651:I653)</f>
        <v>5161578.2200000007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238.05</v>
      </c>
      <c r="G655" s="249"/>
      <c r="H655" s="249">
        <v>151.56</v>
      </c>
      <c r="I655" s="19">
        <f>SUM(F655:H655)</f>
        <v>389.61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13793.97</v>
      </c>
      <c r="G657" s="19" t="e">
        <f>ROUND(G654/G655,2)</f>
        <v>#DIV/0!</v>
      </c>
      <c r="H657" s="19">
        <f>ROUND(H654/H655,2)</f>
        <v>12390.64</v>
      </c>
      <c r="I657" s="19">
        <f>ROUND(I654/I655,2)</f>
        <v>13248.06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-5.2</v>
      </c>
      <c r="I660" s="19">
        <f>SUM(F660:H660)</f>
        <v>-5.2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13793.97</v>
      </c>
      <c r="G662" s="19" t="e">
        <f>ROUND((G654+G659)/(G655+G660),2)</f>
        <v>#DIV/0!</v>
      </c>
      <c r="H662" s="19">
        <f>ROUND((H654+H659)/(H655+H660),2)</f>
        <v>12830.86</v>
      </c>
      <c r="I662" s="19">
        <f>ROUND((I654+I659)/(I655+I660),2)</f>
        <v>13427.27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DB60-DB81-4CEE-959A-4278DC05B97D}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NORTHUMBERLAND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1755224.16</v>
      </c>
      <c r="C9" s="230">
        <f>'DOE25'!G189+'DOE25'!G207+'DOE25'!G225+'DOE25'!G268+'DOE25'!G287+'DOE25'!G306</f>
        <v>738221.12000000011</v>
      </c>
    </row>
    <row r="10" spans="1:3" x14ac:dyDescent="0.2">
      <c r="A10" t="s">
        <v>813</v>
      </c>
      <c r="B10" s="241">
        <f>719742.97+239590.06+578233.26+2610+6948.97+1098.35+11797.49+5830.67+12924.36-6948.97+19997.62+8570.38+809.2+1300+133284.58+93+5300+1693.75+2237+100+1737+1000+325.5</f>
        <v>1748275.1900000002</v>
      </c>
      <c r="C10" s="241">
        <f>191708.75+63373.18+123552.55+29443.57+6467.73+21196.94+4395.01+1421.02+4944.88+56210.9+18418.04+44972.01+53935.4+17398.11+44519.83+1095+1333.13+6876.79+795.28+397.76+697.28+1476.12+291.45+986.4+104+94.5+198.5+950+1175+1450-531.6+182.45+78.19+1529.83+655.47+1498.11+641.69+61.91+99.45+97.37+13264.25+644.44+10214.76+7905.08+405.48+284.64+129.58+41.2+171.13+7.66+132.88+130.12+76.5+74.9+24.9-10</f>
        <v>737689.51999999967</v>
      </c>
    </row>
    <row r="11" spans="1:3" x14ac:dyDescent="0.2">
      <c r="A11" t="s">
        <v>814</v>
      </c>
      <c r="B11" s="241">
        <v>6948.97</v>
      </c>
      <c r="C11" s="241">
        <v>531.6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1755224.1600000001</v>
      </c>
      <c r="C13" s="232">
        <f>SUM(C10:C12)</f>
        <v>738221.11999999965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342956.28</v>
      </c>
      <c r="C18" s="230">
        <f>'DOE25'!G190+'DOE25'!G208+'DOE25'!G226+'DOE25'!G269+'DOE25'!G288+'DOE25'!G307</f>
        <v>80349.110000000015</v>
      </c>
    </row>
    <row r="19" spans="1:3" x14ac:dyDescent="0.2">
      <c r="A19" t="s">
        <v>813</v>
      </c>
      <c r="B19" s="241">
        <f>83117.75+34976.95+59579+5196+2907.96+1185.75+821.16+14223.22</f>
        <v>202007.79</v>
      </c>
      <c r="C19" s="241">
        <f>26433.47+4560.58+6514.25+514.4+190.18+271.68+10892.77+5728.09+7899.9+6547.51+2619.94+4467.12+900+300+200+300+431.28+49.47+148.41+1088.15+200+68.93+22.98-10782.56</f>
        <v>69566.549999999988</v>
      </c>
    </row>
    <row r="20" spans="1:3" x14ac:dyDescent="0.2">
      <c r="A20" t="s">
        <v>814</v>
      </c>
      <c r="B20" s="241">
        <f>55859.64+39642.12+45446.73</f>
        <v>140948.49000000002</v>
      </c>
      <c r="C20" s="241">
        <v>10782.56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342956.28</v>
      </c>
      <c r="C22" s="232">
        <f>SUM(C19:C21)</f>
        <v>80349.109999999986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70566.94</v>
      </c>
      <c r="C36" s="236">
        <f>'DOE25'!G192+'DOE25'!G210+'DOE25'!G228+'DOE25'!G271+'DOE25'!G290+'DOE25'!G309</f>
        <v>7749.84</v>
      </c>
    </row>
    <row r="37" spans="1:3" x14ac:dyDescent="0.2">
      <c r="A37" t="s">
        <v>813</v>
      </c>
      <c r="B37" s="241">
        <f>19500</f>
        <v>19500</v>
      </c>
      <c r="C37" s="241">
        <f>1491.75+42.32+261.01+1261.44+129.22</f>
        <v>3185.74</v>
      </c>
    </row>
    <row r="38" spans="1:3" x14ac:dyDescent="0.2">
      <c r="A38" t="s">
        <v>814</v>
      </c>
      <c r="B38" s="241">
        <f>6784+9353.38+31729.56-19500+22700</f>
        <v>51066.94</v>
      </c>
      <c r="C38" s="241">
        <f>485.25+715.58+2427.34+427.23+30.32+233.67-1491.75+1736.55-0.09</f>
        <v>4564.1000000000004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70566.94</v>
      </c>
      <c r="C40" s="232">
        <f>SUM(C37:C39)</f>
        <v>7749.84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65DF-4AAF-43ED-A96A-57B8E788251B}">
  <sheetPr>
    <tabColor indexed="11"/>
  </sheetPr>
  <dimension ref="A1:I51"/>
  <sheetViews>
    <sheetView workbookViewId="0">
      <pane ySplit="4" topLeftCell="A5" activePane="bottomLeft" state="frozen"/>
      <selection pane="bottomLeft" activeCell="C20" sqref="C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NORTHUMBERLAND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3374013.68</v>
      </c>
      <c r="D5" s="20">
        <f>SUM('DOE25'!L189:L192)+SUM('DOE25'!L207:L210)+SUM('DOE25'!L225:L228)-F5-G5</f>
        <v>3348299.16</v>
      </c>
      <c r="E5" s="244"/>
      <c r="F5" s="256">
        <f>SUM('DOE25'!J189:J192)+SUM('DOE25'!J207:J210)+SUM('DOE25'!J225:J228)</f>
        <v>20415.52</v>
      </c>
      <c r="G5" s="53">
        <f>SUM('DOE25'!K189:K192)+SUM('DOE25'!K207:K210)+SUM('DOE25'!K225:K228)</f>
        <v>5299</v>
      </c>
      <c r="H5" s="260"/>
    </row>
    <row r="6" spans="1:9" x14ac:dyDescent="0.2">
      <c r="A6" s="32">
        <v>2100</v>
      </c>
      <c r="B6" t="s">
        <v>835</v>
      </c>
      <c r="C6" s="246">
        <f t="shared" si="0"/>
        <v>266306.12999999995</v>
      </c>
      <c r="D6" s="20">
        <f>'DOE25'!L194+'DOE25'!L212+'DOE25'!L230-F6-G6</f>
        <v>265734.52999999997</v>
      </c>
      <c r="E6" s="244"/>
      <c r="F6" s="256">
        <f>'DOE25'!J194+'DOE25'!J212+'DOE25'!J230</f>
        <v>405.6</v>
      </c>
      <c r="G6" s="53">
        <f>'DOE25'!K194+'DOE25'!K212+'DOE25'!K230</f>
        <v>166</v>
      </c>
      <c r="H6" s="260"/>
    </row>
    <row r="7" spans="1:9" x14ac:dyDescent="0.2">
      <c r="A7" s="32">
        <v>2200</v>
      </c>
      <c r="B7" t="s">
        <v>868</v>
      </c>
      <c r="C7" s="246">
        <f t="shared" si="0"/>
        <v>88480.94</v>
      </c>
      <c r="D7" s="20">
        <f>'DOE25'!L195+'DOE25'!L213+'DOE25'!L231-F7-G7</f>
        <v>88480.94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158139.77000000002</v>
      </c>
      <c r="D8" s="244"/>
      <c r="E8" s="20">
        <f>'DOE25'!L196+'DOE25'!L214+'DOE25'!L232-F8-G8-D9-D11</f>
        <v>153272.02000000002</v>
      </c>
      <c r="F8" s="256">
        <f>'DOE25'!J196+'DOE25'!J214+'DOE25'!J232</f>
        <v>0</v>
      </c>
      <c r="G8" s="53">
        <f>'DOE25'!K196+'DOE25'!K214+'DOE25'!K232</f>
        <v>4867.75</v>
      </c>
      <c r="H8" s="260"/>
    </row>
    <row r="9" spans="1:9" x14ac:dyDescent="0.2">
      <c r="A9" s="32">
        <v>2310</v>
      </c>
      <c r="B9" t="s">
        <v>852</v>
      </c>
      <c r="C9" s="246">
        <f t="shared" si="0"/>
        <v>38729.79</v>
      </c>
      <c r="D9" s="245">
        <v>38729.79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10959</v>
      </c>
      <c r="D10" s="244"/>
      <c r="E10" s="245">
        <v>10959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102205.39</v>
      </c>
      <c r="D11" s="245">
        <v>102205.39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502708.65</v>
      </c>
      <c r="D12" s="20">
        <f>'DOE25'!L197+'DOE25'!L215+'DOE25'!L233-F12-G12</f>
        <v>500391.65</v>
      </c>
      <c r="E12" s="244"/>
      <c r="F12" s="256">
        <f>'DOE25'!J197+'DOE25'!J215+'DOE25'!J233</f>
        <v>0</v>
      </c>
      <c r="G12" s="53">
        <f>'DOE25'!K197+'DOE25'!K215+'DOE25'!K233</f>
        <v>2317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480521.54000000004</v>
      </c>
      <c r="D14" s="20">
        <f>'DOE25'!L199+'DOE25'!L217+'DOE25'!L235-F14-G14</f>
        <v>473582.64</v>
      </c>
      <c r="E14" s="244"/>
      <c r="F14" s="256">
        <f>'DOE25'!J199+'DOE25'!J217+'DOE25'!J235</f>
        <v>6938.9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166857.53999999998</v>
      </c>
      <c r="D15" s="20">
        <f>'DOE25'!L200+'DOE25'!L218+'DOE25'!L236-F15-G15</f>
        <v>166857.53999999998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66339.16</v>
      </c>
      <c r="D22" s="244"/>
      <c r="E22" s="244"/>
      <c r="F22" s="256">
        <f>'DOE25'!L247+'DOE25'!L328</f>
        <v>66339.16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28571.43</v>
      </c>
      <c r="D25" s="244"/>
      <c r="E25" s="244"/>
      <c r="F25" s="259"/>
      <c r="G25" s="257"/>
      <c r="H25" s="258">
        <f>'DOE25'!L252+'DOE25'!L253+'DOE25'!L333+'DOE25'!L334</f>
        <v>28571.43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102663.62</v>
      </c>
      <c r="D29" s="20">
        <f>'DOE25'!L350+'DOE25'!L351+'DOE25'!L352-'DOE25'!I359-F29-G29</f>
        <v>99671.03</v>
      </c>
      <c r="E29" s="244"/>
      <c r="F29" s="256">
        <f>'DOE25'!J350+'DOE25'!J351+'DOE25'!J352</f>
        <v>2992.59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369290.80000000005</v>
      </c>
      <c r="D31" s="20">
        <f>'DOE25'!L282+'DOE25'!L301+'DOE25'!L320+'DOE25'!L325+'DOE25'!L326+'DOE25'!L327-F31-G31</f>
        <v>297495.92000000004</v>
      </c>
      <c r="E31" s="244"/>
      <c r="F31" s="256">
        <f>'DOE25'!J282+'DOE25'!J301+'DOE25'!J320+'DOE25'!J325+'DOE25'!J326+'DOE25'!J327</f>
        <v>71728.41</v>
      </c>
      <c r="G31" s="53">
        <f>'DOE25'!K282+'DOE25'!K301+'DOE25'!K320+'DOE25'!K325+'DOE25'!K326+'DOE25'!K327</f>
        <v>66.47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5381448.5899999999</v>
      </c>
      <c r="E33" s="247">
        <f>SUM(E5:E31)</f>
        <v>164231.02000000002</v>
      </c>
      <c r="F33" s="247">
        <f>SUM(F5:F31)</f>
        <v>168820.18</v>
      </c>
      <c r="G33" s="247">
        <f>SUM(G5:G31)</f>
        <v>12716.22</v>
      </c>
      <c r="H33" s="247">
        <f>SUM(H5:H31)</f>
        <v>28571.43</v>
      </c>
    </row>
    <row r="35" spans="2:8" ht="12" thickBot="1" x14ac:dyDescent="0.25">
      <c r="B35" s="254" t="s">
        <v>881</v>
      </c>
      <c r="D35" s="255">
        <f>E33</f>
        <v>164231.02000000002</v>
      </c>
      <c r="E35" s="250"/>
    </row>
    <row r="36" spans="2:8" ht="12" thickTop="1" x14ac:dyDescent="0.2">
      <c r="B36" t="s">
        <v>849</v>
      </c>
      <c r="D36" s="20">
        <f>D33</f>
        <v>5381448.5899999999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F19B-B8B8-423B-A932-45F867C8EC45}">
  <sheetPr transitionEvaluation="1" codeName="Sheet2">
    <tabColor indexed="10"/>
  </sheetPr>
  <dimension ref="A1:I156"/>
  <sheetViews>
    <sheetView zoomScale="75" workbookViewId="0">
      <pane ySplit="2" topLeftCell="A1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-10020.129999999999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302405.03999999998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206883.75</v>
      </c>
      <c r="D12" s="95">
        <f>'DOE25'!G12</f>
        <v>648.23</v>
      </c>
      <c r="E12" s="95">
        <f>'DOE25'!H12</f>
        <v>5714.5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19482.66</v>
      </c>
      <c r="D14" s="95">
        <f>'DOE25'!G14</f>
        <v>11675.13</v>
      </c>
      <c r="E14" s="95">
        <f>'DOE25'!H14</f>
        <v>206883.75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216346.28</v>
      </c>
      <c r="D19" s="41">
        <f>SUM(D9:D18)</f>
        <v>12323.359999999999</v>
      </c>
      <c r="E19" s="41">
        <f>SUM(E9:E18)</f>
        <v>212598.25</v>
      </c>
      <c r="F19" s="41">
        <f>SUM(F9:F18)</f>
        <v>0</v>
      </c>
      <c r="G19" s="41">
        <f>SUM(G9:G18)</f>
        <v>302405.03999999998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6362.73</v>
      </c>
      <c r="D22" s="95">
        <f>'DOE25'!G23</f>
        <v>11675.13</v>
      </c>
      <c r="E22" s="95">
        <f>'DOE25'!H23</f>
        <v>206883.75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27363.23</v>
      </c>
      <c r="D29" s="95">
        <f>'DOE25'!G30</f>
        <v>648.23</v>
      </c>
      <c r="E29" s="95">
        <f>'DOE25'!H30</f>
        <v>5714.5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134089.79999999999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167815.75999999998</v>
      </c>
      <c r="D32" s="41">
        <f>SUM(D22:D31)</f>
        <v>12323.359999999999</v>
      </c>
      <c r="E32" s="41">
        <f>SUM(E22:E31)</f>
        <v>212598.25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302405.03999999998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48530.52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48530.52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302405.03999999998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216346.27999999997</v>
      </c>
      <c r="D43" s="41">
        <f>D42+D32</f>
        <v>12323.359999999999</v>
      </c>
      <c r="E43" s="41">
        <f>E42+E32</f>
        <v>212598.25</v>
      </c>
      <c r="F43" s="41">
        <f>F42+F32</f>
        <v>0</v>
      </c>
      <c r="G43" s="41">
        <f>G42+G32</f>
        <v>302405.03999999998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1318897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721822.95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856.91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844.39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62578.38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57643.07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780322.92999999993</v>
      </c>
      <c r="D54" s="130">
        <f>SUM(D49:D53)</f>
        <v>62578.38</v>
      </c>
      <c r="E54" s="130">
        <f>SUM(E49:E53)</f>
        <v>0</v>
      </c>
      <c r="F54" s="130">
        <f>SUM(F49:F53)</f>
        <v>0</v>
      </c>
      <c r="G54" s="130">
        <f>SUM(G49:G53)</f>
        <v>844.39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2099219.9299999997</v>
      </c>
      <c r="D55" s="22">
        <f>D48+D54</f>
        <v>62578.38</v>
      </c>
      <c r="E55" s="22">
        <f>E48+E54</f>
        <v>0</v>
      </c>
      <c r="F55" s="22">
        <f>F48+F54</f>
        <v>0</v>
      </c>
      <c r="G55" s="22">
        <f>G48+G54</f>
        <v>844.39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1898575.58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293787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728424.42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2920787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17506.439999999999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39304.800000000003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1966.7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56811.240000000005</v>
      </c>
      <c r="D70" s="130">
        <f>SUM(D64:D69)</f>
        <v>1966.7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2977598.24</v>
      </c>
      <c r="D73" s="130">
        <f>SUM(D71:D72)+D70+D62</f>
        <v>1966.7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127099.22</v>
      </c>
      <c r="D80" s="95">
        <f>SUM('DOE25'!G145:G153)</f>
        <v>80538.45</v>
      </c>
      <c r="E80" s="95">
        <f>SUM('DOE25'!H145:H153)</f>
        <v>369290.8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9848.36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136947.58000000002</v>
      </c>
      <c r="D83" s="131">
        <f>SUM(D77:D82)</f>
        <v>80538.45</v>
      </c>
      <c r="E83" s="131">
        <f>SUM(E77:E82)</f>
        <v>369290.8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18327.63</v>
      </c>
      <c r="E88" s="95">
        <f>'DOE25'!H171</f>
        <v>0</v>
      </c>
      <c r="F88" s="95">
        <f>'DOE25'!I171</f>
        <v>0</v>
      </c>
      <c r="G88" s="95">
        <f>'DOE25'!J171</f>
        <v>30000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18327.63</v>
      </c>
      <c r="E95" s="86">
        <f>SUM(E85:E94)</f>
        <v>0</v>
      </c>
      <c r="F95" s="86">
        <f>SUM(F85:F94)</f>
        <v>0</v>
      </c>
      <c r="G95" s="86">
        <f>SUM(G85:G94)</f>
        <v>30000</v>
      </c>
    </row>
    <row r="96" spans="1:7" ht="12.75" thickTop="1" thickBot="1" x14ac:dyDescent="0.25">
      <c r="A96" s="33" t="s">
        <v>797</v>
      </c>
      <c r="C96" s="86">
        <f>C55+C73+C83+C95</f>
        <v>5213765.75</v>
      </c>
      <c r="D96" s="86">
        <f>D55+D73+D83+D95</f>
        <v>163411.16</v>
      </c>
      <c r="E96" s="86">
        <f>E55+E73+E83+E95</f>
        <v>369290.8</v>
      </c>
      <c r="F96" s="86">
        <f>F55+F73+F83+F95</f>
        <v>0</v>
      </c>
      <c r="G96" s="86">
        <f>G55+G73+G95</f>
        <v>30844.39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2465068.0300000003</v>
      </c>
      <c r="D101" s="24" t="s">
        <v>312</v>
      </c>
      <c r="E101" s="95">
        <f>('DOE25'!L268)+('DOE25'!L287)+('DOE25'!L306)</f>
        <v>344014.1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788370.16</v>
      </c>
      <c r="D102" s="24" t="s">
        <v>312</v>
      </c>
      <c r="E102" s="95">
        <f>('DOE25'!L269)+('DOE25'!L288)+('DOE25'!L307)</f>
        <v>19555.2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16870.16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103705.33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3374013.6800000006</v>
      </c>
      <c r="D107" s="86">
        <f>SUM(D101:D106)</f>
        <v>0</v>
      </c>
      <c r="E107" s="86">
        <f>SUM(E101:E106)</f>
        <v>363569.3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266306.12999999995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88480.94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299074.95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502708.65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480521.54000000004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166857.53999999998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5721.5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163411.16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1803949.75</v>
      </c>
      <c r="D120" s="86">
        <f>SUM(D110:D119)</f>
        <v>163411.16</v>
      </c>
      <c r="E120" s="86">
        <f>SUM(E110:E119)</f>
        <v>5721.5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66339.16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28571.43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18327.63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30844.39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-844.38999999999942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143238.21999999997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5321201.6500000004</v>
      </c>
      <c r="D137" s="86">
        <f>(D107+D120+D136)</f>
        <v>163411.16</v>
      </c>
      <c r="E137" s="86">
        <f>(E107+E120+E136)</f>
        <v>369290.8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14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06/01</v>
      </c>
      <c r="C144" s="152" t="str">
        <f>'DOE25'!G481</f>
        <v>06/10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06/15</v>
      </c>
      <c r="C145" s="152" t="str">
        <f>'DOE25'!G482</f>
        <v>09/20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400000</v>
      </c>
      <c r="C146" s="137">
        <f>'DOE25'!G483</f>
        <v>225501.31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5.39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171428.56</v>
      </c>
      <c r="C148" s="137">
        <f>'DOE25'!G485</f>
        <v>175000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346428.56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28571.43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28571.43</v>
      </c>
    </row>
    <row r="151" spans="1:7" x14ac:dyDescent="0.2">
      <c r="A151" s="22" t="s">
        <v>35</v>
      </c>
      <c r="B151" s="137">
        <f>'DOE25'!F488</f>
        <v>142857.13</v>
      </c>
      <c r="C151" s="137">
        <f>'DOE25'!G488</f>
        <v>175000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317857.13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50501.31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50501.31</v>
      </c>
    </row>
    <row r="153" spans="1:7" x14ac:dyDescent="0.2">
      <c r="A153" s="22" t="s">
        <v>37</v>
      </c>
      <c r="B153" s="137">
        <f>'DOE25'!F490</f>
        <v>142857.13</v>
      </c>
      <c r="C153" s="137">
        <f>'DOE25'!G490</f>
        <v>225501.31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368358.44</v>
      </c>
    </row>
    <row r="154" spans="1:7" x14ac:dyDescent="0.2">
      <c r="A154" s="22" t="s">
        <v>38</v>
      </c>
      <c r="B154" s="137">
        <f>'DOE25'!F491</f>
        <v>28571.43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28571.43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6707.56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6707.56</v>
      </c>
    </row>
    <row r="156" spans="1:7" x14ac:dyDescent="0.2">
      <c r="A156" s="22" t="s">
        <v>269</v>
      </c>
      <c r="B156" s="137">
        <f>'DOE25'!F493</f>
        <v>28571.43</v>
      </c>
      <c r="C156" s="137">
        <f>'DOE25'!G493</f>
        <v>6707.56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35278.99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FAFD-8F99-4C6A-8A56-6CB48B46AF2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NORTHUMBERLAND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13794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12831</v>
      </c>
    </row>
    <row r="7" spans="1:4" x14ac:dyDescent="0.2">
      <c r="B7" t="s">
        <v>736</v>
      </c>
      <c r="C7" s="179">
        <f>IF('DOE25'!I655+'DOE25'!I660=0,0,ROUND('DOE25'!I662,0))</f>
        <v>13427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2809082</v>
      </c>
      <c r="D10" s="182">
        <f>ROUND((C10/$C$28)*100,1)</f>
        <v>49.7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807925</v>
      </c>
      <c r="D11" s="182">
        <f>ROUND((C11/$C$28)*100,1)</f>
        <v>14.3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16870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103705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266306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88481</v>
      </c>
      <c r="D16" s="182">
        <f t="shared" si="0"/>
        <v>1.6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304796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502709</v>
      </c>
      <c r="D18" s="182">
        <f t="shared" si="0"/>
        <v>8.9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480522</v>
      </c>
      <c r="D20" s="182">
        <f t="shared" si="0"/>
        <v>8.5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166858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100832.62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5648086.6200000001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66339</v>
      </c>
    </row>
    <row r="30" spans="1:4" x14ac:dyDescent="0.2">
      <c r="B30" s="187" t="s">
        <v>760</v>
      </c>
      <c r="C30" s="180">
        <f>SUM(C28:C29)</f>
        <v>5714425.6200000001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28571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1318897</v>
      </c>
      <c r="D35" s="182">
        <f t="shared" ref="D35:D40" si="1">ROUND((C35/$C$41)*100,1)</f>
        <v>23.3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781167.3200000003</v>
      </c>
      <c r="D36" s="182">
        <f t="shared" si="1"/>
        <v>13.8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2192363</v>
      </c>
      <c r="D37" s="182">
        <f t="shared" si="1"/>
        <v>38.700000000000003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787202</v>
      </c>
      <c r="D38" s="182">
        <f t="shared" si="1"/>
        <v>13.9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586777</v>
      </c>
      <c r="D39" s="182">
        <f t="shared" si="1"/>
        <v>10.4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5666406.3200000003</v>
      </c>
      <c r="D41" s="184">
        <f>SUM(D35:D40)</f>
        <v>100.10000000000002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A38B-4E78-4261-9623-7978DA56123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NORTHUMBERLAND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2010-11-16T13:18:22Z</cp:lastPrinted>
  <dcterms:created xsi:type="dcterms:W3CDTF">1997-12-04T19:04:30Z</dcterms:created>
  <dcterms:modified xsi:type="dcterms:W3CDTF">2025-01-09T20:07:45Z</dcterms:modified>
</cp:coreProperties>
</file>