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F8504652-57C5-4946-A3B2-5CB1E677D83B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2CDB2328-C91A-47EE-952C-CA18D86B6E0B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9" i="1" l="1"/>
  <c r="G350" i="1"/>
  <c r="F2" i="11"/>
  <c r="C40" i="10"/>
  <c r="C37" i="10"/>
  <c r="L191" i="1"/>
  <c r="L209" i="1"/>
  <c r="L227" i="1"/>
  <c r="L270" i="1"/>
  <c r="L289" i="1"/>
  <c r="E103" i="2" s="1"/>
  <c r="L308" i="1"/>
  <c r="L320" i="1" s="1"/>
  <c r="C12" i="10"/>
  <c r="L242" i="1"/>
  <c r="L324" i="1"/>
  <c r="C23" i="10"/>
  <c r="L243" i="1"/>
  <c r="L244" i="1"/>
  <c r="L245" i="1"/>
  <c r="D19" i="13" s="1"/>
  <c r="C19" i="13" s="1"/>
  <c r="L246" i="1"/>
  <c r="L325" i="1"/>
  <c r="L326" i="1"/>
  <c r="L327" i="1"/>
  <c r="E106" i="2" s="1"/>
  <c r="C24" i="10"/>
  <c r="L253" i="1"/>
  <c r="C25" i="10" s="1"/>
  <c r="L334" i="1"/>
  <c r="L260" i="1"/>
  <c r="C26" i="10" s="1"/>
  <c r="L261" i="1"/>
  <c r="C135" i="2" s="1"/>
  <c r="L341" i="1"/>
  <c r="L342" i="1"/>
  <c r="E135" i="2" s="1"/>
  <c r="C5" i="10"/>
  <c r="C42" i="10"/>
  <c r="L252" i="1"/>
  <c r="H25" i="13" s="1"/>
  <c r="L333" i="1"/>
  <c r="L343" i="1" s="1"/>
  <c r="C32" i="10"/>
  <c r="L247" i="1"/>
  <c r="L328" i="1"/>
  <c r="L366" i="1"/>
  <c r="F122" i="2" s="1"/>
  <c r="F136" i="2" s="1"/>
  <c r="F137" i="2" s="1"/>
  <c r="L367" i="1"/>
  <c r="L368" i="1"/>
  <c r="L369" i="1"/>
  <c r="L370" i="1"/>
  <c r="L371" i="1"/>
  <c r="L372" i="1"/>
  <c r="C29" i="10"/>
  <c r="B2" i="10"/>
  <c r="F192" i="1"/>
  <c r="L192" i="1" s="1"/>
  <c r="G192" i="1"/>
  <c r="H192" i="1"/>
  <c r="I192" i="1"/>
  <c r="J192" i="1"/>
  <c r="L210" i="1"/>
  <c r="L228" i="1"/>
  <c r="L271" i="1"/>
  <c r="L290" i="1"/>
  <c r="L309" i="1"/>
  <c r="E104" i="2" s="1"/>
  <c r="F195" i="1"/>
  <c r="L195" i="1" s="1"/>
  <c r="G195" i="1"/>
  <c r="H195" i="1"/>
  <c r="I195" i="1"/>
  <c r="J195" i="1"/>
  <c r="F7" i="13" s="1"/>
  <c r="L213" i="1"/>
  <c r="L231" i="1"/>
  <c r="L274" i="1"/>
  <c r="L293" i="1"/>
  <c r="L312" i="1"/>
  <c r="E111" i="2" s="1"/>
  <c r="F196" i="1"/>
  <c r="L196" i="1" s="1"/>
  <c r="G196" i="1"/>
  <c r="H196" i="1"/>
  <c r="L201" i="1"/>
  <c r="L214" i="1"/>
  <c r="L219" i="1"/>
  <c r="L232" i="1"/>
  <c r="L237" i="1"/>
  <c r="L275" i="1"/>
  <c r="L280" i="1"/>
  <c r="E117" i="2" s="1"/>
  <c r="L294" i="1"/>
  <c r="E112" i="2" s="1"/>
  <c r="L299" i="1"/>
  <c r="L313" i="1"/>
  <c r="L318" i="1"/>
  <c r="F197" i="1"/>
  <c r="L197" i="1" s="1"/>
  <c r="G197" i="1"/>
  <c r="H197" i="1"/>
  <c r="I197" i="1"/>
  <c r="K197" i="1"/>
  <c r="L215" i="1"/>
  <c r="L221" i="1" s="1"/>
  <c r="G650" i="1" s="1"/>
  <c r="L233" i="1"/>
  <c r="L276" i="1"/>
  <c r="E113" i="2" s="1"/>
  <c r="L295" i="1"/>
  <c r="L314" i="1"/>
  <c r="F198" i="1"/>
  <c r="L198" i="1" s="1"/>
  <c r="G198" i="1"/>
  <c r="H198" i="1"/>
  <c r="I198" i="1"/>
  <c r="L216" i="1"/>
  <c r="L234" i="1"/>
  <c r="L277" i="1"/>
  <c r="E114" i="2" s="1"/>
  <c r="L296" i="1"/>
  <c r="L315" i="1"/>
  <c r="F199" i="1"/>
  <c r="L199" i="1" s="1"/>
  <c r="G199" i="1"/>
  <c r="H199" i="1"/>
  <c r="I199" i="1"/>
  <c r="J199" i="1"/>
  <c r="L217" i="1"/>
  <c r="L235" i="1"/>
  <c r="L278" i="1"/>
  <c r="L297" i="1"/>
  <c r="L316" i="1"/>
  <c r="F190" i="1"/>
  <c r="L190" i="1" s="1"/>
  <c r="G190" i="1"/>
  <c r="C18" i="12" s="1"/>
  <c r="H190" i="1"/>
  <c r="I190" i="1"/>
  <c r="J190" i="1"/>
  <c r="L208" i="1"/>
  <c r="H226" i="1"/>
  <c r="L226" i="1"/>
  <c r="L269" i="1"/>
  <c r="E102" i="2" s="1"/>
  <c r="L288" i="1"/>
  <c r="L307" i="1"/>
  <c r="H200" i="1"/>
  <c r="L200" i="1"/>
  <c r="C116" i="2" s="1"/>
  <c r="L218" i="1"/>
  <c r="H236" i="1"/>
  <c r="L236" i="1"/>
  <c r="L279" i="1"/>
  <c r="L298" i="1"/>
  <c r="E116" i="2" s="1"/>
  <c r="L317" i="1"/>
  <c r="H652" i="1" s="1"/>
  <c r="C21" i="10"/>
  <c r="F189" i="1"/>
  <c r="G189" i="1"/>
  <c r="H189" i="1"/>
  <c r="L189" i="1" s="1"/>
  <c r="I189" i="1"/>
  <c r="I203" i="1" s="1"/>
  <c r="I249" i="1" s="1"/>
  <c r="I263" i="1" s="1"/>
  <c r="J189" i="1"/>
  <c r="J203" i="1" s="1"/>
  <c r="J249" i="1" s="1"/>
  <c r="K189" i="1"/>
  <c r="G5" i="13" s="1"/>
  <c r="L207" i="1"/>
  <c r="H225" i="1"/>
  <c r="L225" i="1"/>
  <c r="L239" i="1" s="1"/>
  <c r="H650" i="1" s="1"/>
  <c r="L268" i="1"/>
  <c r="L282" i="1" s="1"/>
  <c r="L287" i="1"/>
  <c r="L301" i="1" s="1"/>
  <c r="L306" i="1"/>
  <c r="F194" i="1"/>
  <c r="L194" i="1" s="1"/>
  <c r="G194" i="1"/>
  <c r="H194" i="1"/>
  <c r="I194" i="1"/>
  <c r="L212" i="1"/>
  <c r="L230" i="1"/>
  <c r="L273" i="1"/>
  <c r="E110" i="2" s="1"/>
  <c r="E120" i="2" s="1"/>
  <c r="L292" i="1"/>
  <c r="L311" i="1"/>
  <c r="F52" i="1"/>
  <c r="G52" i="1"/>
  <c r="C35" i="10" s="1"/>
  <c r="H52" i="1"/>
  <c r="E48" i="2" s="1"/>
  <c r="I52" i="1"/>
  <c r="F48" i="2" s="1"/>
  <c r="J52" i="1"/>
  <c r="J104" i="1" s="1"/>
  <c r="J185" i="1" s="1"/>
  <c r="F113" i="1"/>
  <c r="F128" i="1"/>
  <c r="F132" i="1"/>
  <c r="G113" i="1"/>
  <c r="G132" i="1" s="1"/>
  <c r="C38" i="10" s="1"/>
  <c r="G128" i="1"/>
  <c r="H113" i="1"/>
  <c r="H128" i="1"/>
  <c r="H132" i="1" s="1"/>
  <c r="I113" i="1"/>
  <c r="I132" i="1" s="1"/>
  <c r="I128" i="1"/>
  <c r="J113" i="1"/>
  <c r="J128" i="1"/>
  <c r="J132" i="1"/>
  <c r="F139" i="1"/>
  <c r="F161" i="1" s="1"/>
  <c r="F154" i="1"/>
  <c r="G139" i="1"/>
  <c r="G161" i="1" s="1"/>
  <c r="G154" i="1"/>
  <c r="H139" i="1"/>
  <c r="E77" i="2" s="1"/>
  <c r="E83" i="2" s="1"/>
  <c r="H154" i="1"/>
  <c r="I139" i="1"/>
  <c r="I154" i="1"/>
  <c r="I161" i="1"/>
  <c r="F350" i="1"/>
  <c r="H350" i="1"/>
  <c r="L350" i="1"/>
  <c r="L354" i="1" s="1"/>
  <c r="L351" i="1"/>
  <c r="G651" i="1" s="1"/>
  <c r="L352" i="1"/>
  <c r="H651" i="1" s="1"/>
  <c r="L353" i="1"/>
  <c r="F71" i="1"/>
  <c r="F104" i="1" s="1"/>
  <c r="F185" i="1" s="1"/>
  <c r="G617" i="1" s="1"/>
  <c r="J617" i="1" s="1"/>
  <c r="F86" i="1"/>
  <c r="F102" i="1"/>
  <c r="F103" i="1"/>
  <c r="G103" i="1"/>
  <c r="G104" i="1"/>
  <c r="H71" i="1"/>
  <c r="H104" i="1" s="1"/>
  <c r="H86" i="1"/>
  <c r="H103" i="1"/>
  <c r="I103" i="1"/>
  <c r="I104" i="1" s="1"/>
  <c r="J103" i="1"/>
  <c r="H594" i="1"/>
  <c r="K594" i="1" s="1"/>
  <c r="K595" i="1" s="1"/>
  <c r="G638" i="1" s="1"/>
  <c r="L601" i="1"/>
  <c r="L604" i="1" s="1"/>
  <c r="F653" i="1"/>
  <c r="I653" i="1" s="1"/>
  <c r="I655" i="1"/>
  <c r="I660" i="1"/>
  <c r="L602" i="1"/>
  <c r="G653" i="1"/>
  <c r="H565" i="1"/>
  <c r="L603" i="1"/>
  <c r="H653" i="1"/>
  <c r="I659" i="1"/>
  <c r="C6" i="10"/>
  <c r="I516" i="1"/>
  <c r="H516" i="1"/>
  <c r="G516" i="1"/>
  <c r="G519" i="1" s="1"/>
  <c r="F516" i="1"/>
  <c r="L516" i="1" s="1"/>
  <c r="F511" i="1"/>
  <c r="L511" i="1" s="1"/>
  <c r="J458" i="1"/>
  <c r="J581" i="1"/>
  <c r="H581" i="1"/>
  <c r="H588" i="1" s="1"/>
  <c r="H639" i="1" s="1"/>
  <c r="H389" i="1"/>
  <c r="H381" i="1"/>
  <c r="H385" i="1" s="1"/>
  <c r="H400" i="1" s="1"/>
  <c r="H634" i="1" s="1"/>
  <c r="I359" i="1"/>
  <c r="I361" i="1" s="1"/>
  <c r="H624" i="1" s="1"/>
  <c r="J282" i="1"/>
  <c r="J301" i="1"/>
  <c r="J320" i="1"/>
  <c r="K282" i="1"/>
  <c r="K330" i="1" s="1"/>
  <c r="K344" i="1" s="1"/>
  <c r="K301" i="1"/>
  <c r="K320" i="1"/>
  <c r="L379" i="1"/>
  <c r="L380" i="1"/>
  <c r="L381" i="1"/>
  <c r="L385" i="1" s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9" i="1" s="1"/>
  <c r="C132" i="2" s="1"/>
  <c r="L396" i="1"/>
  <c r="L397" i="1"/>
  <c r="L398" i="1"/>
  <c r="L258" i="1"/>
  <c r="L336" i="1"/>
  <c r="E126" i="2" s="1"/>
  <c r="L337" i="1"/>
  <c r="E127" i="2" s="1"/>
  <c r="L338" i="1"/>
  <c r="L339" i="1"/>
  <c r="K343" i="1"/>
  <c r="L512" i="1"/>
  <c r="F540" i="1"/>
  <c r="L513" i="1"/>
  <c r="F541" i="1" s="1"/>
  <c r="L517" i="1"/>
  <c r="G540" i="1" s="1"/>
  <c r="L518" i="1"/>
  <c r="G541" i="1" s="1"/>
  <c r="L521" i="1"/>
  <c r="L524" i="1" s="1"/>
  <c r="H539" i="1"/>
  <c r="H542" i="1" s="1"/>
  <c r="L522" i="1"/>
  <c r="H540" i="1" s="1"/>
  <c r="L523" i="1"/>
  <c r="H541" i="1" s="1"/>
  <c r="L526" i="1"/>
  <c r="L529" i="1" s="1"/>
  <c r="L527" i="1"/>
  <c r="I540" i="1" s="1"/>
  <c r="L528" i="1"/>
  <c r="I541" i="1"/>
  <c r="L531" i="1"/>
  <c r="J539" i="1" s="1"/>
  <c r="L532" i="1"/>
  <c r="J540" i="1" s="1"/>
  <c r="L533" i="1"/>
  <c r="J541" i="1" s="1"/>
  <c r="K262" i="1"/>
  <c r="J262" i="1"/>
  <c r="I262" i="1"/>
  <c r="H262" i="1"/>
  <c r="G262" i="1"/>
  <c r="L262" i="1" s="1"/>
  <c r="F262" i="1"/>
  <c r="I431" i="1"/>
  <c r="J9" i="1" s="1"/>
  <c r="I432" i="1"/>
  <c r="J10" i="1" s="1"/>
  <c r="G10" i="2" s="1"/>
  <c r="I433" i="1"/>
  <c r="I438" i="1" s="1"/>
  <c r="G632" i="1" s="1"/>
  <c r="J12" i="1"/>
  <c r="G12" i="2" s="1"/>
  <c r="I434" i="1"/>
  <c r="J13" i="1" s="1"/>
  <c r="G13" i="2" s="1"/>
  <c r="I435" i="1"/>
  <c r="J14" i="1"/>
  <c r="I436" i="1"/>
  <c r="J17" i="1" s="1"/>
  <c r="G17" i="2" s="1"/>
  <c r="I437" i="1"/>
  <c r="J18" i="1" s="1"/>
  <c r="G18" i="2" s="1"/>
  <c r="I440" i="1"/>
  <c r="J23" i="1" s="1"/>
  <c r="I441" i="1"/>
  <c r="J24" i="1"/>
  <c r="G23" i="2" s="1"/>
  <c r="I442" i="1"/>
  <c r="J25" i="1" s="1"/>
  <c r="G24" i="2" s="1"/>
  <c r="I443" i="1"/>
  <c r="J32" i="1"/>
  <c r="I446" i="1"/>
  <c r="I450" i="1" s="1"/>
  <c r="I447" i="1"/>
  <c r="J38" i="1" s="1"/>
  <c r="G37" i="2" s="1"/>
  <c r="I448" i="1"/>
  <c r="J40" i="1" s="1"/>
  <c r="G39" i="2" s="1"/>
  <c r="I449" i="1"/>
  <c r="J41" i="1"/>
  <c r="G40" i="2" s="1"/>
  <c r="K411" i="1"/>
  <c r="K426" i="1" s="1"/>
  <c r="G126" i="2" s="1"/>
  <c r="G136" i="2" s="1"/>
  <c r="G137" i="2" s="1"/>
  <c r="K419" i="1"/>
  <c r="K425" i="1"/>
  <c r="L255" i="1"/>
  <c r="L256" i="1"/>
  <c r="C128" i="2" s="1"/>
  <c r="L257" i="1"/>
  <c r="C129" i="2" s="1"/>
  <c r="F490" i="1"/>
  <c r="G490" i="1"/>
  <c r="H490" i="1"/>
  <c r="I490" i="1"/>
  <c r="K490" i="1" s="1"/>
  <c r="J490" i="1"/>
  <c r="F493" i="1"/>
  <c r="B156" i="2" s="1"/>
  <c r="G156" i="2" s="1"/>
  <c r="G493" i="1"/>
  <c r="H493" i="1"/>
  <c r="I493" i="1"/>
  <c r="J493" i="1"/>
  <c r="F19" i="1"/>
  <c r="G607" i="1" s="1"/>
  <c r="G19" i="1"/>
  <c r="H19" i="1"/>
  <c r="I19" i="1"/>
  <c r="F33" i="1"/>
  <c r="G33" i="1"/>
  <c r="H33" i="1"/>
  <c r="H44" i="1" s="1"/>
  <c r="H609" i="1" s="1"/>
  <c r="J609" i="1" s="1"/>
  <c r="I33" i="1"/>
  <c r="F43" i="1"/>
  <c r="F44" i="1" s="1"/>
  <c r="H607" i="1" s="1"/>
  <c r="G43" i="1"/>
  <c r="G613" i="1" s="1"/>
  <c r="J613" i="1" s="1"/>
  <c r="H43" i="1"/>
  <c r="I43" i="1"/>
  <c r="G615" i="1" s="1"/>
  <c r="I44" i="1"/>
  <c r="H610" i="1" s="1"/>
  <c r="F169" i="1"/>
  <c r="I169" i="1"/>
  <c r="F175" i="1"/>
  <c r="G175" i="1"/>
  <c r="G184" i="1" s="1"/>
  <c r="H175" i="1"/>
  <c r="H184" i="1" s="1"/>
  <c r="I175" i="1"/>
  <c r="J175" i="1"/>
  <c r="F180" i="1"/>
  <c r="G180" i="1"/>
  <c r="H180" i="1"/>
  <c r="I180" i="1"/>
  <c r="I184" i="1" s="1"/>
  <c r="F184" i="1"/>
  <c r="J184" i="1"/>
  <c r="G203" i="1"/>
  <c r="H203" i="1"/>
  <c r="H249" i="1" s="1"/>
  <c r="H263" i="1" s="1"/>
  <c r="K203" i="1"/>
  <c r="K249" i="1" s="1"/>
  <c r="K263" i="1" s="1"/>
  <c r="F221" i="1"/>
  <c r="G221" i="1"/>
  <c r="H221" i="1"/>
  <c r="I221" i="1"/>
  <c r="J221" i="1"/>
  <c r="K221" i="1"/>
  <c r="F239" i="1"/>
  <c r="G239" i="1"/>
  <c r="H239" i="1"/>
  <c r="I239" i="1"/>
  <c r="J239" i="1"/>
  <c r="K239" i="1"/>
  <c r="F248" i="1"/>
  <c r="G248" i="1"/>
  <c r="H248" i="1"/>
  <c r="I248" i="1"/>
  <c r="J248" i="1"/>
  <c r="K248" i="1"/>
  <c r="L248" i="1"/>
  <c r="G249" i="1"/>
  <c r="G263" i="1" s="1"/>
  <c r="F282" i="1"/>
  <c r="G282" i="1"/>
  <c r="H282" i="1"/>
  <c r="I282" i="1"/>
  <c r="F301" i="1"/>
  <c r="F330" i="1" s="1"/>
  <c r="F344" i="1" s="1"/>
  <c r="G301" i="1"/>
  <c r="H301" i="1"/>
  <c r="I301" i="1"/>
  <c r="F320" i="1"/>
  <c r="G320" i="1"/>
  <c r="G330" i="1" s="1"/>
  <c r="G344" i="1" s="1"/>
  <c r="H320" i="1"/>
  <c r="H330" i="1" s="1"/>
  <c r="H344" i="1" s="1"/>
  <c r="I320" i="1"/>
  <c r="F329" i="1"/>
  <c r="G329" i="1"/>
  <c r="L329" i="1" s="1"/>
  <c r="H329" i="1"/>
  <c r="I329" i="1"/>
  <c r="J329" i="1"/>
  <c r="J330" i="1" s="1"/>
  <c r="J344" i="1" s="1"/>
  <c r="K329" i="1"/>
  <c r="I330" i="1"/>
  <c r="I344" i="1" s="1"/>
  <c r="F354" i="1"/>
  <c r="G354" i="1"/>
  <c r="H354" i="1"/>
  <c r="I354" i="1"/>
  <c r="J354" i="1"/>
  <c r="K354" i="1"/>
  <c r="I360" i="1"/>
  <c r="F361" i="1"/>
  <c r="G361" i="1"/>
  <c r="H361" i="1"/>
  <c r="L373" i="1"/>
  <c r="L374" i="1" s="1"/>
  <c r="G626" i="1" s="1"/>
  <c r="J626" i="1" s="1"/>
  <c r="F374" i="1"/>
  <c r="G374" i="1"/>
  <c r="H374" i="1"/>
  <c r="I374" i="1"/>
  <c r="J374" i="1"/>
  <c r="K374" i="1"/>
  <c r="F385" i="1"/>
  <c r="G385" i="1"/>
  <c r="I385" i="1"/>
  <c r="F393" i="1"/>
  <c r="F400" i="1" s="1"/>
  <c r="H633" i="1" s="1"/>
  <c r="J633" i="1" s="1"/>
  <c r="G393" i="1"/>
  <c r="G400" i="1" s="1"/>
  <c r="H635" i="1" s="1"/>
  <c r="J635" i="1" s="1"/>
  <c r="H393" i="1"/>
  <c r="I393" i="1"/>
  <c r="F399" i="1"/>
  <c r="G399" i="1"/>
  <c r="H399" i="1"/>
  <c r="I399" i="1"/>
  <c r="I400" i="1" s="1"/>
  <c r="L405" i="1"/>
  <c r="L411" i="1" s="1"/>
  <c r="L426" i="1" s="1"/>
  <c r="G628" i="1" s="1"/>
  <c r="J628" i="1" s="1"/>
  <c r="L406" i="1"/>
  <c r="L407" i="1"/>
  <c r="L408" i="1"/>
  <c r="L409" i="1"/>
  <c r="L410" i="1"/>
  <c r="F411" i="1"/>
  <c r="F426" i="1" s="1"/>
  <c r="G411" i="1"/>
  <c r="H411" i="1"/>
  <c r="I411" i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G425" i="1"/>
  <c r="H425" i="1"/>
  <c r="I425" i="1"/>
  <c r="J425" i="1"/>
  <c r="J426" i="1" s="1"/>
  <c r="G426" i="1"/>
  <c r="H426" i="1"/>
  <c r="I426" i="1"/>
  <c r="F438" i="1"/>
  <c r="G629" i="1" s="1"/>
  <c r="G438" i="1"/>
  <c r="H438" i="1"/>
  <c r="G631" i="1" s="1"/>
  <c r="F444" i="1"/>
  <c r="G444" i="1"/>
  <c r="H444" i="1"/>
  <c r="F450" i="1"/>
  <c r="F451" i="1" s="1"/>
  <c r="H629" i="1" s="1"/>
  <c r="G450" i="1"/>
  <c r="G451" i="1" s="1"/>
  <c r="H630" i="1" s="1"/>
  <c r="H450" i="1"/>
  <c r="H451" i="1"/>
  <c r="H631" i="1" s="1"/>
  <c r="F460" i="1"/>
  <c r="G460" i="1"/>
  <c r="H460" i="1"/>
  <c r="I460" i="1"/>
  <c r="I466" i="1" s="1"/>
  <c r="H615" i="1" s="1"/>
  <c r="J460" i="1"/>
  <c r="J466" i="1" s="1"/>
  <c r="H616" i="1" s="1"/>
  <c r="F464" i="1"/>
  <c r="F466" i="1" s="1"/>
  <c r="H612" i="1" s="1"/>
  <c r="G464" i="1"/>
  <c r="H464" i="1"/>
  <c r="I464" i="1"/>
  <c r="J464" i="1"/>
  <c r="G466" i="1"/>
  <c r="H466" i="1"/>
  <c r="K485" i="1"/>
  <c r="K486" i="1"/>
  <c r="K487" i="1"/>
  <c r="K488" i="1"/>
  <c r="K489" i="1"/>
  <c r="K491" i="1"/>
  <c r="K492" i="1"/>
  <c r="F507" i="1"/>
  <c r="G507" i="1"/>
  <c r="H507" i="1"/>
  <c r="I507" i="1"/>
  <c r="G514" i="1"/>
  <c r="G535" i="1" s="1"/>
  <c r="H514" i="1"/>
  <c r="I514" i="1"/>
  <c r="J514" i="1"/>
  <c r="J535" i="1" s="1"/>
  <c r="K514" i="1"/>
  <c r="H519" i="1"/>
  <c r="I519" i="1"/>
  <c r="J519" i="1"/>
  <c r="K519" i="1"/>
  <c r="K535" i="1" s="1"/>
  <c r="F524" i="1"/>
  <c r="G524" i="1"/>
  <c r="H524" i="1"/>
  <c r="I524" i="1"/>
  <c r="I535" i="1" s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H535" i="1"/>
  <c r="L547" i="1"/>
  <c r="L550" i="1" s="1"/>
  <c r="L561" i="1" s="1"/>
  <c r="L548" i="1"/>
  <c r="L549" i="1"/>
  <c r="F550" i="1"/>
  <c r="G550" i="1"/>
  <c r="H550" i="1"/>
  <c r="H561" i="1" s="1"/>
  <c r="I550" i="1"/>
  <c r="I561" i="1" s="1"/>
  <c r="J550" i="1"/>
  <c r="J561" i="1" s="1"/>
  <c r="K550" i="1"/>
  <c r="L552" i="1"/>
  <c r="L553" i="1"/>
  <c r="L554" i="1"/>
  <c r="F555" i="1"/>
  <c r="G555" i="1"/>
  <c r="H555" i="1"/>
  <c r="I555" i="1"/>
  <c r="J555" i="1"/>
  <c r="K555" i="1"/>
  <c r="K561" i="1" s="1"/>
  <c r="L555" i="1"/>
  <c r="L557" i="1"/>
  <c r="L558" i="1"/>
  <c r="L559" i="1"/>
  <c r="F560" i="1"/>
  <c r="G560" i="1"/>
  <c r="H560" i="1"/>
  <c r="I560" i="1"/>
  <c r="J560" i="1"/>
  <c r="K560" i="1"/>
  <c r="L560" i="1"/>
  <c r="F561" i="1"/>
  <c r="G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2" i="1"/>
  <c r="K583" i="1"/>
  <c r="K584" i="1"/>
  <c r="K585" i="1"/>
  <c r="K586" i="1"/>
  <c r="K587" i="1"/>
  <c r="I588" i="1"/>
  <c r="J588" i="1"/>
  <c r="K592" i="1"/>
  <c r="K593" i="1"/>
  <c r="I595" i="1"/>
  <c r="J595" i="1"/>
  <c r="F604" i="1"/>
  <c r="G604" i="1"/>
  <c r="H604" i="1"/>
  <c r="I604" i="1"/>
  <c r="J604" i="1"/>
  <c r="K604" i="1"/>
  <c r="G608" i="1"/>
  <c r="G609" i="1"/>
  <c r="G610" i="1"/>
  <c r="G612" i="1"/>
  <c r="H613" i="1"/>
  <c r="G614" i="1"/>
  <c r="J614" i="1" s="1"/>
  <c r="H614" i="1"/>
  <c r="H617" i="1"/>
  <c r="H618" i="1"/>
  <c r="H619" i="1"/>
  <c r="H620" i="1"/>
  <c r="H621" i="1"/>
  <c r="H622" i="1"/>
  <c r="H623" i="1"/>
  <c r="G624" i="1"/>
  <c r="J624" i="1" s="1"/>
  <c r="H625" i="1"/>
  <c r="H626" i="1"/>
  <c r="H627" i="1"/>
  <c r="H628" i="1"/>
  <c r="G630" i="1"/>
  <c r="J630" i="1" s="1"/>
  <c r="G633" i="1"/>
  <c r="G634" i="1"/>
  <c r="G635" i="1"/>
  <c r="H637" i="1"/>
  <c r="G640" i="1"/>
  <c r="J640" i="1" s="1"/>
  <c r="H640" i="1"/>
  <c r="G641" i="1"/>
  <c r="H641" i="1"/>
  <c r="J641" i="1" s="1"/>
  <c r="G642" i="1"/>
  <c r="J642" i="1" s="1"/>
  <c r="H642" i="1"/>
  <c r="G643" i="1"/>
  <c r="H643" i="1"/>
  <c r="J643" i="1"/>
  <c r="G644" i="1"/>
  <c r="J644" i="1" s="1"/>
  <c r="H644" i="1"/>
  <c r="G645" i="1"/>
  <c r="H645" i="1"/>
  <c r="J645" i="1" s="1"/>
  <c r="B2" i="13"/>
  <c r="F8" i="13"/>
  <c r="G8" i="13"/>
  <c r="D39" i="13"/>
  <c r="F13" i="13"/>
  <c r="G13" i="13"/>
  <c r="F16" i="13"/>
  <c r="G16" i="13"/>
  <c r="E16" i="13" s="1"/>
  <c r="C16" i="13" s="1"/>
  <c r="F6" i="13"/>
  <c r="G6" i="13"/>
  <c r="G7" i="13"/>
  <c r="F12" i="13"/>
  <c r="G12" i="13"/>
  <c r="F14" i="13"/>
  <c r="G14" i="13"/>
  <c r="F15" i="13"/>
  <c r="G15" i="13"/>
  <c r="D15" i="13"/>
  <c r="C15" i="13" s="1"/>
  <c r="F17" i="13"/>
  <c r="G17" i="13"/>
  <c r="D17" i="13"/>
  <c r="C17" i="13" s="1"/>
  <c r="F18" i="13"/>
  <c r="D18" i="13" s="1"/>
  <c r="C18" i="13" s="1"/>
  <c r="G18" i="13"/>
  <c r="F19" i="13"/>
  <c r="G19" i="13"/>
  <c r="F29" i="13"/>
  <c r="G29" i="13"/>
  <c r="D29" i="13"/>
  <c r="C29" i="13" s="1"/>
  <c r="F31" i="13"/>
  <c r="F22" i="13"/>
  <c r="C22" i="13"/>
  <c r="C11" i="13"/>
  <c r="C10" i="13"/>
  <c r="C9" i="13"/>
  <c r="C60" i="2"/>
  <c r="G48" i="2"/>
  <c r="G55" i="2" s="1"/>
  <c r="G51" i="2"/>
  <c r="G54" i="2" s="1"/>
  <c r="G53" i="2"/>
  <c r="E124" i="2"/>
  <c r="A1" i="2"/>
  <c r="A2" i="2"/>
  <c r="C9" i="2"/>
  <c r="C19" i="2" s="1"/>
  <c r="D9" i="2"/>
  <c r="D19" i="2" s="1"/>
  <c r="E9" i="2"/>
  <c r="E19" i="2" s="1"/>
  <c r="F9" i="2"/>
  <c r="C10" i="2"/>
  <c r="D10" i="2"/>
  <c r="E10" i="2"/>
  <c r="F10" i="2"/>
  <c r="C11" i="2"/>
  <c r="C12" i="2"/>
  <c r="D12" i="2"/>
  <c r="E12" i="2"/>
  <c r="F12" i="2"/>
  <c r="F19" i="2" s="1"/>
  <c r="C13" i="2"/>
  <c r="D13" i="2"/>
  <c r="E13" i="2"/>
  <c r="F13" i="2"/>
  <c r="C14" i="2"/>
  <c r="D14" i="2"/>
  <c r="E14" i="2"/>
  <c r="F14" i="2"/>
  <c r="G14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22" i="2"/>
  <c r="D22" i="2"/>
  <c r="E22" i="2"/>
  <c r="E32" i="2" s="1"/>
  <c r="F22" i="2"/>
  <c r="F32" i="2" s="1"/>
  <c r="C23" i="2"/>
  <c r="D23" i="2"/>
  <c r="E23" i="2"/>
  <c r="F23" i="2"/>
  <c r="C24" i="2"/>
  <c r="D24" i="2"/>
  <c r="E24" i="2"/>
  <c r="F24" i="2"/>
  <c r="C25" i="2"/>
  <c r="D25" i="2"/>
  <c r="D32" i="2" s="1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G31" i="2"/>
  <c r="C32" i="2"/>
  <c r="C34" i="2"/>
  <c r="C42" i="2" s="1"/>
  <c r="C43" i="2" s="1"/>
  <c r="D34" i="2"/>
  <c r="D42" i="2" s="1"/>
  <c r="E34" i="2"/>
  <c r="F34" i="2"/>
  <c r="C35" i="2"/>
  <c r="D35" i="2"/>
  <c r="E35" i="2"/>
  <c r="E42" i="2" s="1"/>
  <c r="F35" i="2"/>
  <c r="F42" i="2" s="1"/>
  <c r="F43" i="2" s="1"/>
  <c r="C36" i="2"/>
  <c r="D36" i="2"/>
  <c r="E36" i="2"/>
  <c r="F36" i="2"/>
  <c r="C37" i="2"/>
  <c r="D37" i="2"/>
  <c r="E37" i="2"/>
  <c r="F37" i="2"/>
  <c r="C38" i="2"/>
  <c r="D38" i="2"/>
  <c r="E38" i="2"/>
  <c r="F38" i="2"/>
  <c r="C40" i="2"/>
  <c r="D40" i="2"/>
  <c r="E40" i="2"/>
  <c r="F40" i="2"/>
  <c r="C41" i="2"/>
  <c r="D41" i="2"/>
  <c r="E41" i="2"/>
  <c r="F41" i="2"/>
  <c r="C48" i="2"/>
  <c r="C55" i="2" s="1"/>
  <c r="D48" i="2"/>
  <c r="D55" i="2" s="1"/>
  <c r="D96" i="2" s="1"/>
  <c r="C49" i="2"/>
  <c r="C54" i="2" s="1"/>
  <c r="C50" i="2"/>
  <c r="E50" i="2"/>
  <c r="C51" i="2"/>
  <c r="D51" i="2"/>
  <c r="E51" i="2"/>
  <c r="F51" i="2"/>
  <c r="F54" i="2" s="1"/>
  <c r="D52" i="2"/>
  <c r="D54" i="2" s="1"/>
  <c r="C53" i="2"/>
  <c r="D53" i="2"/>
  <c r="E53" i="2"/>
  <c r="F53" i="2"/>
  <c r="C58" i="2"/>
  <c r="C62" i="2" s="1"/>
  <c r="C59" i="2"/>
  <c r="C61" i="2"/>
  <c r="D61" i="2"/>
  <c r="D62" i="2" s="1"/>
  <c r="E61" i="2"/>
  <c r="E62" i="2" s="1"/>
  <c r="F61" i="2"/>
  <c r="G61" i="2"/>
  <c r="F62" i="2"/>
  <c r="G62" i="2"/>
  <c r="C64" i="2"/>
  <c r="C70" i="2" s="1"/>
  <c r="C73" i="2" s="1"/>
  <c r="F64" i="2"/>
  <c r="C65" i="2"/>
  <c r="F65" i="2"/>
  <c r="F70" i="2" s="1"/>
  <c r="F73" i="2" s="1"/>
  <c r="C66" i="2"/>
  <c r="C67" i="2"/>
  <c r="C68" i="2"/>
  <c r="E68" i="2"/>
  <c r="F68" i="2"/>
  <c r="C69" i="2"/>
  <c r="D69" i="2"/>
  <c r="D70" i="2" s="1"/>
  <c r="D73" i="2" s="1"/>
  <c r="E69" i="2"/>
  <c r="E70" i="2" s="1"/>
  <c r="F69" i="2"/>
  <c r="G69" i="2"/>
  <c r="G70" i="2"/>
  <c r="G73" i="2" s="1"/>
  <c r="C71" i="2"/>
  <c r="D71" i="2"/>
  <c r="E71" i="2"/>
  <c r="C72" i="2"/>
  <c r="E72" i="2"/>
  <c r="D77" i="2"/>
  <c r="F77" i="2"/>
  <c r="C79" i="2"/>
  <c r="E79" i="2"/>
  <c r="F79" i="2"/>
  <c r="C80" i="2"/>
  <c r="D80" i="2"/>
  <c r="E80" i="2"/>
  <c r="F80" i="2"/>
  <c r="C81" i="2"/>
  <c r="D81" i="2"/>
  <c r="E81" i="2"/>
  <c r="F81" i="2"/>
  <c r="C82" i="2"/>
  <c r="D83" i="2"/>
  <c r="F83" i="2"/>
  <c r="C85" i="2"/>
  <c r="F85" i="2"/>
  <c r="C86" i="2"/>
  <c r="F86" i="2"/>
  <c r="F95" i="2" s="1"/>
  <c r="D88" i="2"/>
  <c r="E88" i="2"/>
  <c r="F88" i="2"/>
  <c r="G88" i="2"/>
  <c r="C89" i="2"/>
  <c r="D89" i="2"/>
  <c r="E89" i="2"/>
  <c r="F89" i="2"/>
  <c r="G89" i="2"/>
  <c r="C90" i="2"/>
  <c r="D90" i="2"/>
  <c r="E90" i="2"/>
  <c r="G90" i="2"/>
  <c r="G95" i="2" s="1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C103" i="2"/>
  <c r="C105" i="2"/>
  <c r="E105" i="2"/>
  <c r="C106" i="2"/>
  <c r="D107" i="2"/>
  <c r="F107" i="2"/>
  <c r="G107" i="2"/>
  <c r="E115" i="2"/>
  <c r="C117" i="2"/>
  <c r="D119" i="2"/>
  <c r="D120" i="2" s="1"/>
  <c r="D137" i="2" s="1"/>
  <c r="F120" i="2"/>
  <c r="G120" i="2"/>
  <c r="C122" i="2"/>
  <c r="E122" i="2"/>
  <c r="D126" i="2"/>
  <c r="F126" i="2"/>
  <c r="C127" i="2"/>
  <c r="E129" i="2"/>
  <c r="C134" i="2"/>
  <c r="E134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G148" i="2" s="1"/>
  <c r="D148" i="2"/>
  <c r="E148" i="2"/>
  <c r="F148" i="2"/>
  <c r="B149" i="2"/>
  <c r="C149" i="2"/>
  <c r="D149" i="2"/>
  <c r="G149" i="2" s="1"/>
  <c r="E149" i="2"/>
  <c r="F149" i="2"/>
  <c r="B150" i="2"/>
  <c r="C150" i="2"/>
  <c r="G150" i="2" s="1"/>
  <c r="D150" i="2"/>
  <c r="E150" i="2"/>
  <c r="F150" i="2"/>
  <c r="B151" i="2"/>
  <c r="C151" i="2"/>
  <c r="D151" i="2"/>
  <c r="G151" i="2" s="1"/>
  <c r="E151" i="2"/>
  <c r="F151" i="2"/>
  <c r="B152" i="2"/>
  <c r="C152" i="2"/>
  <c r="G152" i="2" s="1"/>
  <c r="D152" i="2"/>
  <c r="E152" i="2"/>
  <c r="F152" i="2"/>
  <c r="B153" i="2"/>
  <c r="C153" i="2"/>
  <c r="D153" i="2"/>
  <c r="G153" i="2" s="1"/>
  <c r="E153" i="2"/>
  <c r="F153" i="2"/>
  <c r="B154" i="2"/>
  <c r="C154" i="2"/>
  <c r="G154" i="2" s="1"/>
  <c r="D154" i="2"/>
  <c r="E154" i="2"/>
  <c r="F154" i="2"/>
  <c r="B155" i="2"/>
  <c r="C155" i="2"/>
  <c r="D155" i="2"/>
  <c r="G155" i="2" s="1"/>
  <c r="E155" i="2"/>
  <c r="F155" i="2"/>
  <c r="C156" i="2"/>
  <c r="D156" i="2"/>
  <c r="E156" i="2"/>
  <c r="F156" i="2"/>
  <c r="C39" i="12"/>
  <c r="B39" i="12"/>
  <c r="C19" i="12"/>
  <c r="C22" i="12" s="1"/>
  <c r="C20" i="12"/>
  <c r="C21" i="12"/>
  <c r="B12" i="12"/>
  <c r="B21" i="12"/>
  <c r="B20" i="12"/>
  <c r="B19" i="12"/>
  <c r="C10" i="12"/>
  <c r="C13" i="12" s="1"/>
  <c r="B10" i="12"/>
  <c r="B13" i="12" s="1"/>
  <c r="B4" i="12"/>
  <c r="C36" i="12"/>
  <c r="B40" i="12"/>
  <c r="C40" i="12"/>
  <c r="B27" i="12"/>
  <c r="C27" i="12"/>
  <c r="B31" i="12"/>
  <c r="A31" i="12" s="1"/>
  <c r="C31" i="12"/>
  <c r="B9" i="12"/>
  <c r="C9" i="12"/>
  <c r="B18" i="12"/>
  <c r="B22" i="12"/>
  <c r="B1" i="12"/>
  <c r="E73" i="2" l="1"/>
  <c r="J634" i="1"/>
  <c r="J629" i="1"/>
  <c r="D43" i="2"/>
  <c r="J33" i="1"/>
  <c r="G22" i="2"/>
  <c r="G32" i="2" s="1"/>
  <c r="I185" i="1"/>
  <c r="G620" i="1" s="1"/>
  <c r="J620" i="1" s="1"/>
  <c r="C39" i="10"/>
  <c r="C10" i="10"/>
  <c r="L203" i="1"/>
  <c r="C101" i="2"/>
  <c r="C107" i="2" s="1"/>
  <c r="C130" i="2"/>
  <c r="C133" i="2" s="1"/>
  <c r="L400" i="1"/>
  <c r="H185" i="1"/>
  <c r="G619" i="1" s="1"/>
  <c r="J619" i="1" s="1"/>
  <c r="E55" i="2"/>
  <c r="E96" i="2" s="1"/>
  <c r="C18" i="10"/>
  <c r="D12" i="13"/>
  <c r="C12" i="13" s="1"/>
  <c r="C113" i="2"/>
  <c r="D7" i="13"/>
  <c r="C7" i="13" s="1"/>
  <c r="C111" i="2"/>
  <c r="C16" i="10"/>
  <c r="C25" i="13"/>
  <c r="H33" i="13"/>
  <c r="G185" i="1"/>
  <c r="G618" i="1" s="1"/>
  <c r="J618" i="1" s="1"/>
  <c r="C36" i="10"/>
  <c r="G625" i="1"/>
  <c r="J625" i="1" s="1"/>
  <c r="C27" i="10"/>
  <c r="J612" i="1"/>
  <c r="K541" i="1"/>
  <c r="L330" i="1"/>
  <c r="L344" i="1" s="1"/>
  <c r="G623" i="1" s="1"/>
  <c r="J623" i="1" s="1"/>
  <c r="D31" i="13"/>
  <c r="C31" i="13" s="1"/>
  <c r="E13" i="13"/>
  <c r="C13" i="13" s="1"/>
  <c r="C19" i="10"/>
  <c r="C114" i="2"/>
  <c r="C17" i="10"/>
  <c r="C112" i="2"/>
  <c r="E8" i="13"/>
  <c r="G621" i="1"/>
  <c r="J621" i="1" s="1"/>
  <c r="G636" i="1"/>
  <c r="A13" i="12"/>
  <c r="J610" i="1"/>
  <c r="J542" i="1"/>
  <c r="K540" i="1"/>
  <c r="L514" i="1"/>
  <c r="F539" i="1"/>
  <c r="H654" i="1"/>
  <c r="A22" i="12"/>
  <c r="E43" i="2"/>
  <c r="G539" i="1"/>
  <c r="G542" i="1" s="1"/>
  <c r="L519" i="1"/>
  <c r="C15" i="10"/>
  <c r="C110" i="2"/>
  <c r="C120" i="2" s="1"/>
  <c r="D6" i="13"/>
  <c r="C6" i="13" s="1"/>
  <c r="G96" i="2"/>
  <c r="C20" i="10"/>
  <c r="D14" i="13"/>
  <c r="C14" i="13" s="1"/>
  <c r="C115" i="2"/>
  <c r="C104" i="2"/>
  <c r="C13" i="10"/>
  <c r="J631" i="1"/>
  <c r="J607" i="1"/>
  <c r="G9" i="2"/>
  <c r="G19" i="2" s="1"/>
  <c r="J19" i="1"/>
  <c r="G611" i="1" s="1"/>
  <c r="G33" i="13"/>
  <c r="F55" i="2"/>
  <c r="F96" i="2" s="1"/>
  <c r="J615" i="1"/>
  <c r="H638" i="1"/>
  <c r="J638" i="1" s="1"/>
  <c r="J263" i="1"/>
  <c r="C11" i="10"/>
  <c r="C102" i="2"/>
  <c r="F514" i="1"/>
  <c r="F535" i="1" s="1"/>
  <c r="I444" i="1"/>
  <c r="I451" i="1" s="1"/>
  <c r="H632" i="1" s="1"/>
  <c r="J632" i="1" s="1"/>
  <c r="F203" i="1"/>
  <c r="F249" i="1" s="1"/>
  <c r="F263" i="1" s="1"/>
  <c r="E101" i="2"/>
  <c r="E107" i="2" s="1"/>
  <c r="H595" i="1"/>
  <c r="L534" i="1"/>
  <c r="G44" i="1"/>
  <c r="H608" i="1" s="1"/>
  <c r="J608" i="1" s="1"/>
  <c r="F652" i="1"/>
  <c r="I652" i="1" s="1"/>
  <c r="B36" i="12"/>
  <c r="A40" i="12" s="1"/>
  <c r="G639" i="1"/>
  <c r="J639" i="1" s="1"/>
  <c r="F651" i="1"/>
  <c r="I651" i="1" s="1"/>
  <c r="H161" i="1"/>
  <c r="C123" i="2"/>
  <c r="C136" i="2" s="1"/>
  <c r="F5" i="13"/>
  <c r="K581" i="1"/>
  <c r="K588" i="1" s="1"/>
  <c r="G637" i="1" s="1"/>
  <c r="J637" i="1" s="1"/>
  <c r="I539" i="1"/>
  <c r="I542" i="1" s="1"/>
  <c r="C124" i="2"/>
  <c r="F519" i="1"/>
  <c r="K493" i="1"/>
  <c r="C77" i="2"/>
  <c r="C83" i="2" s="1"/>
  <c r="C96" i="2" s="1"/>
  <c r="E123" i="2"/>
  <c r="E136" i="2" s="1"/>
  <c r="J37" i="1"/>
  <c r="E49" i="2"/>
  <c r="E54" i="2" s="1"/>
  <c r="G652" i="1"/>
  <c r="G654" i="1" s="1"/>
  <c r="G31" i="13"/>
  <c r="G657" i="1" l="1"/>
  <c r="G662" i="1"/>
  <c r="G36" i="2"/>
  <c r="G42" i="2" s="1"/>
  <c r="G43" i="2" s="1"/>
  <c r="J43" i="1"/>
  <c r="D11" i="10"/>
  <c r="C137" i="2"/>
  <c r="L249" i="1"/>
  <c r="L263" i="1" s="1"/>
  <c r="G622" i="1" s="1"/>
  <c r="J622" i="1" s="1"/>
  <c r="F650" i="1"/>
  <c r="D10" i="10"/>
  <c r="C28" i="10"/>
  <c r="D18" i="10"/>
  <c r="D15" i="10"/>
  <c r="E137" i="2"/>
  <c r="C8" i="13"/>
  <c r="E33" i="13"/>
  <c r="D35" i="13" s="1"/>
  <c r="C41" i="10"/>
  <c r="D39" i="10" s="1"/>
  <c r="D5" i="13"/>
  <c r="F33" i="13"/>
  <c r="D17" i="10"/>
  <c r="H657" i="1"/>
  <c r="H662" i="1"/>
  <c r="G627" i="1"/>
  <c r="J627" i="1" s="1"/>
  <c r="H636" i="1"/>
  <c r="J636" i="1" s="1"/>
  <c r="D20" i="10"/>
  <c r="F542" i="1"/>
  <c r="K539" i="1"/>
  <c r="K542" i="1" s="1"/>
  <c r="D19" i="10"/>
  <c r="L535" i="1"/>
  <c r="F654" i="1" l="1"/>
  <c r="I650" i="1"/>
  <c r="I654" i="1" s="1"/>
  <c r="D22" i="10"/>
  <c r="C30" i="10"/>
  <c r="D12" i="10"/>
  <c r="D24" i="10"/>
  <c r="D25" i="10"/>
  <c r="D23" i="10"/>
  <c r="D26" i="10"/>
  <c r="D21" i="10"/>
  <c r="D16" i="10"/>
  <c r="D28" i="10" s="1"/>
  <c r="G616" i="1"/>
  <c r="J44" i="1"/>
  <c r="H611" i="1" s="1"/>
  <c r="J611" i="1" s="1"/>
  <c r="D13" i="10"/>
  <c r="D33" i="13"/>
  <c r="D36" i="13" s="1"/>
  <c r="C5" i="13"/>
  <c r="D27" i="10"/>
  <c r="D40" i="10"/>
  <c r="D37" i="10"/>
  <c r="D38" i="10"/>
  <c r="D35" i="10"/>
  <c r="D36" i="10"/>
  <c r="D41" i="10" l="1"/>
  <c r="I662" i="1"/>
  <c r="C7" i="10" s="1"/>
  <c r="I657" i="1"/>
  <c r="J616" i="1"/>
  <c r="H646" i="1"/>
  <c r="F662" i="1"/>
  <c r="C4" i="10" s="1"/>
  <c r="F6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36C45BEE-B070-415C-83EE-7EB6E9CC9CDC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7EE4F76B-596E-4BFB-A321-876D4F83B3AD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64322F05-DD4A-4ABD-8782-FC78F27A9197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7014D155-C7AC-4323-9011-ECBFFABF6192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66E18AA3-B70D-4701-8D37-A69D7CF9986D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DFE48E60-ADF9-48E4-8796-643DE0722EB8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78A039B5-50B3-476C-AD3C-6BA227D1D1C4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94A962FC-9E99-461E-8DF5-D596D4CC1128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4E12ABC8-4538-464F-B743-C8D3FC065DC4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168FF107-D0CF-4D7E-A12C-AB001FC4241C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2019EDC3-85ED-4B03-8988-5A2A25819D35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4A5141ED-A2C1-4954-9599-0820CFFBB756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<sst xmlns="http://schemas.openxmlformats.org/spreadsheetml/2006/main" count="3860" uniqueCount="897">
  <si>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</si>
  <si>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</si>
  <si>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</si>
  <si>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</si>
  <si>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</si>
  <si>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</si>
  <si>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</si>
  <si>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</si>
  <si>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</si>
  <si>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</si>
  <si>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</si>
  <si>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</si>
  <si>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</si>
  <si>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</si>
  <si>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</si>
  <si>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</si>
  <si>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</si>
  <si>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</si>
  <si>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</si>
  <si>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</si>
  <si>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</si>
  <si>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</si>
  <si>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</si>
  <si>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</si>
  <si>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</si>
  <si>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</si>
  <si>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</si>
  <si>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</si>
  <si>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</si>
  <si>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</si>
  <si>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</si>
  <si>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</si>
  <si>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</si>
  <si>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</si>
  <si>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</si>
  <si>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</si>
  <si>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</si>
  <si>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</si>
  <si>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</si>
  <si>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</si>
  <si>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</si>
  <si>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</si>
  <si>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</si>
  <si>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</si>
  <si>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</si>
  <si>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</si>
  <si>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</si>
  <si>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</si>
  <si>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</si>
  <si>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</si>
  <si>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</si>
  <si>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</si>
  <si>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</si>
  <si>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</si>
  <si>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</si>
  <si>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</si>
  <si>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</si>
  <si>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</si>
  <si>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</si>
  <si>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</si>
  <si>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</si>
  <si>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</si>
  <si>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</si>
  <si>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</si>
  <si>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</si>
  <si>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</si>
  <si>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</si>
  <si>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</si>
  <si>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</si>
  <si>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</si>
  <si>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</si>
  <si>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</si>
  <si>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</si>
  <si>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</si>
  <si>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</si>
  <si>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</si>
  <si>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</si>
  <si>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</si>
  <si>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</si>
  <si>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</si>
  <si>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</si>
  <si>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</si>
  <si>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</si>
  <si>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</si>
  <si>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</si>
  <si>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</si>
  <si>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</si>
  <si>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</si>
  <si>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</si>
  <si>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</si>
  <si>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</si>
  <si>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</si>
  <si>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</si>
  <si>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</si>
  <si>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</si>
  <si>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</si>
  <si>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</si>
  <si>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</si>
  <si>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</si>
  <si>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</si>
  <si>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</si>
  <si>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</si>
  <si>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</si>
  <si>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</si>
  <si>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</si>
  <si>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</si>
  <si>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</si>
  <si>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</si>
  <si>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</si>
  <si>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</si>
  <si>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</si>
  <si>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</si>
  <si>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</si>
  <si>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</si>
  <si>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</si>
  <si>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</si>
  <si>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</si>
  <si>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</si>
  <si>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</si>
  <si>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</si>
  <si>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</si>
  <si>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</si>
  <si>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</si>
  <si>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</si>
  <si>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</si>
  <si>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</si>
  <si>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</si>
  <si>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</si>
  <si>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</si>
  <si>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</si>
  <si>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</si>
  <si>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</si>
  <si>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</si>
  <si>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</si>
  <si>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</si>
  <si>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</si>
  <si>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</si>
  <si>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</si>
  <si>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</si>
  <si>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</si>
  <si>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</si>
  <si>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</si>
  <si>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</si>
  <si>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</si>
  <si>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</si>
  <si>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</si>
  <si>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</si>
  <si>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</si>
  <si>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</si>
  <si>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</si>
  <si>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</si>
  <si>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</si>
  <si>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</si>
  <si>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</si>
  <si>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</si>
  <si>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</si>
  <si>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</si>
  <si>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</si>
  <si>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</si>
  <si>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</si>
  <si>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</si>
  <si>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</si>
  <si>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</si>
  <si>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</si>
  <si>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</si>
  <si>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</si>
  <si>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</si>
  <si>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</si>
  <si>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</si>
  <si>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</si>
  <si>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</si>
  <si>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</si>
  <si>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</si>
  <si>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</si>
  <si>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</si>
  <si>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</si>
  <si>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</si>
  <si>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</si>
  <si>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</si>
  <si>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</si>
  <si>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</si>
  <si>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</si>
  <si>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</si>
  <si>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</si>
  <si>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</si>
  <si>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</si>
  <si>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</si>
  <si>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</si>
  <si>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</si>
  <si>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</si>
  <si>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</si>
  <si>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</si>
  <si>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</si>
  <si>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</si>
  <si>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</si>
  <si>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</si>
  <si>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</si>
  <si>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</si>
  <si>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</si>
  <si>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</si>
  <si>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</si>
  <si>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</si>
  <si>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</si>
  <si>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</si>
  <si>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</si>
  <si>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</si>
  <si>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</si>
  <si>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</si>
  <si>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</si>
  <si>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</si>
  <si>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</si>
  <si>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</si>
  <si>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</si>
  <si>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</si>
  <si>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</si>
  <si>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</si>
  <si>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</si>
  <si>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</si>
  <si>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</si>
  <si>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</si>
  <si>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</si>
  <si>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</si>
  <si>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</si>
  <si>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</si>
  <si>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</si>
  <si>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</si>
  <si>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</si>
  <si>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</si>
  <si>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</si>
  <si>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</si>
  <si>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</si>
  <si>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</si>
  <si>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</si>
  <si>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</si>
  <si>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</si>
  <si>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</si>
  <si>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</si>
  <si>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</si>
  <si>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</si>
  <si>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</si>
  <si>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</si>
  <si>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</si>
  <si>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</si>
  <si>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</si>
  <si>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</si>
  <si>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</si>
  <si>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</si>
  <si>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</si>
  <si>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</si>
  <si>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</si>
  <si>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</si>
  <si>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</si>
  <si>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</si>
  <si>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</si>
  <si>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</si>
  <si>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</si>
  <si>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</si>
  <si>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</si>
  <si>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</si>
  <si>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</si>
  <si>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</si>
  <si>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</si>
  <si>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</si>
  <si>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</si>
  <si>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</si>
  <si>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</si>
  <si>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</si>
  <si>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</si>
  <si>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</si>
  <si>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</si>
  <si>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</si>
  <si>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</si>
  <si>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</si>
  <si>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</si>
  <si>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</si>
  <si>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</si>
  <si>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</si>
  <si>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</si>
  <si>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</si>
  <si>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</si>
  <si>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</si>
  <si>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</si>
  <si>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</si>
  <si>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</si>
  <si>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</si>
  <si>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</si>
  <si>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</si>
  <si>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</si>
  <si>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</si>
  <si>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</si>
  <si>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</si>
  <si>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</si>
  <si>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</si>
  <si>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</si>
  <si>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</si>
  <si>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</si>
  <si>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</si>
  <si>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</si>
  <si>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</si>
  <si>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</si>
  <si>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</si>
  <si>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</si>
  <si>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</si>
  <si>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</si>
  <si>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</si>
  <si>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</si>
  <si>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</si>
  <si>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</si>
  <si>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</si>
  <si>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</si>
  <si>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</si>
  <si>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</si>
  <si>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</si>
  <si>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</si>
  <si>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</si>
  <si>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</si>
  <si>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</si>
  <si>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</si>
  <si>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</si>
  <si>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</si>
  <si>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</si>
  <si>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</si>
  <si>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</si>
  <si>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</si>
  <si>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</si>
  <si>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</si>
  <si>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</si>
  <si>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</si>
  <si>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</si>
  <si>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</si>
  <si>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</si>
  <si>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</si>
  <si>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</si>
  <si>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</si>
  <si>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</si>
  <si>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</si>
  <si>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</si>
  <si>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</si>
  <si>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</si>
  <si>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</si>
  <si>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</si>
  <si>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</si>
  <si>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</si>
  <si>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</si>
  <si>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</si>
  <si>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</si>
  <si>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</si>
  <si>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</si>
  <si>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</si>
  <si>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</si>
  <si>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</si>
  <si>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</si>
  <si>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</si>
  <si>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</si>
  <si>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</si>
  <si>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</si>
  <si>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</si>
  <si>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</si>
  <si>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</si>
  <si>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</si>
  <si>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</si>
  <si>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</si>
  <si>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</si>
  <si>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</si>
  <si>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</si>
  <si>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</si>
  <si>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</si>
  <si>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</si>
  <si>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</si>
  <si>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</si>
  <si>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</si>
  <si>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</si>
  <si>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</si>
  <si>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</si>
  <si>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</si>
  <si>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</si>
  <si>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</si>
  <si>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</si>
  <si>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</si>
  <si>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</si>
  <si>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</si>
  <si>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</si>
  <si>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</si>
  <si>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</si>
  <si>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</si>
  <si>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</si>
  <si>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</si>
  <si>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</si>
  <si>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</si>
  <si>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</si>
  <si>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</si>
  <si>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</si>
  <si>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</si>
  <si>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</si>
  <si>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</si>
  <si>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</si>
  <si>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</si>
  <si>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</si>
  <si>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</si>
  <si>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</si>
  <si>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</si>
  <si>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</si>
  <si>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</si>
  <si>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</si>
  <si>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</si>
  <si>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</si>
  <si>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</si>
  <si>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</si>
  <si>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</si>
  <si>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</si>
  <si>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</si>
  <si>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</si>
  <si>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</si>
  <si>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</si>
  <si>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</si>
  <si>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</si>
  <si>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</si>
  <si>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</si>
  <si>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</si>
  <si>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</si>
  <si>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</si>
  <si>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</si>
  <si>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</si>
  <si>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</si>
  <si>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</si>
  <si>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</si>
  <si>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</si>
  <si>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</si>
  <si>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</si>
  <si>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</si>
  <si>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</si>
  <si>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</si>
  <si>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</si>
  <si>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</si>
  <si>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</si>
  <si>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</si>
  <si>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</si>
  <si>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</si>
  <si>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</si>
  <si>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</si>
  <si>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</si>
  <si>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</si>
  <si>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</si>
  <si>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</si>
  <si>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</si>
  <si>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</si>
  <si>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</si>
  <si>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</si>
  <si>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</si>
  <si>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</si>
  <si>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</si>
  <si>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</si>
  <si>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</si>
  <si>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</si>
  <si>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</si>
  <si>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</si>
  <si>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</si>
  <si>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</si>
  <si>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</si>
  <si>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</si>
  <si>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</si>
  <si>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</si>
  <si>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</si>
  <si>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</si>
  <si>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</si>
  <si>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</si>
  <si>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</si>
  <si>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</si>
  <si>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</si>
  <si>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</si>
  <si>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</si>
  <si>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</si>
  <si>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</si>
  <si>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</si>
  <si>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</si>
  <si>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</si>
  <si>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</si>
  <si>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</si>
  <si>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</si>
  <si>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</si>
  <si>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</si>
  <si>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</si>
  <si>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</si>
  <si>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</si>
  <si>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</si>
  <si>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</si>
  <si>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</si>
  <si>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</si>
  <si>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</si>
  <si>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</si>
  <si>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</si>
  <si>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</si>
  <si>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</si>
  <si>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</si>
  <si>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</si>
  <si>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</si>
  <si>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</si>
  <si>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</si>
  <si>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</si>
  <si>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</si>
  <si>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</si>
  <si>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</si>
  <si>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</si>
  <si>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</si>
  <si>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</si>
  <si>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</si>
  <si>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</si>
  <si>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</si>
  <si>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</si>
  <si>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</si>
  <si>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</si>
  <si>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</si>
  <si>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</si>
  <si>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</si>
  <si>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</si>
  <si>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</si>
  <si>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</si>
  <si>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</si>
  <si>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</si>
  <si>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</si>
  <si>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</si>
  <si>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</si>
  <si>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</si>
  <si>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</si>
  <si>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</si>
  <si>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</si>
  <si>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</si>
  <si>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</si>
  <si>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</si>
  <si>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</si>
  <si>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</si>
  <si>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</si>
  <si>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</si>
  <si>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</si>
  <si>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</si>
  <si>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</si>
  <si>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</si>
  <si>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</si>
  <si>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</si>
  <si>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</si>
  <si>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</si>
  <si>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</si>
  <si>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</si>
  <si>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</si>
  <si>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</si>
  <si>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</si>
  <si>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</si>
  <si>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</si>
  <si>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</si>
  <si>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</si>
  <si>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</si>
  <si>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</si>
  <si>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</si>
  <si>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</si>
  <si>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</si>
  <si>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</si>
  <si>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</si>
  <si>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</si>
  <si>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</si>
  <si>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</si>
  <si>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</si>
  <si>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</si>
  <si>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</si>
  <si>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</si>
  <si>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</si>
  <si>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</si>
  <si>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</si>
  <si>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</si>
  <si>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</si>
  <si>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</si>
  <si>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</si>
  <si>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</si>
  <si>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</si>
  <si>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</si>
  <si>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</si>
  <si>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</si>
  <si>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</si>
  <si>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</si>
  <si>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</si>
  <si>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</si>
  <si>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</si>
  <si>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</si>
  <si>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</si>
  <si>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</si>
  <si>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</si>
  <si>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</si>
  <si>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</si>
  <si>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</si>
  <si>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</si>
  <si>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</si>
  <si>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</si>
  <si>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</si>
  <si>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</si>
  <si>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</si>
  <si>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</si>
  <si>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</si>
  <si>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</si>
  <si>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</si>
  <si>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</si>
  <si>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</si>
  <si>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</si>
  <si>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</si>
  <si>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</si>
  <si>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</si>
  <si>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</si>
  <si>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</si>
  <si>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</si>
  <si>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</si>
  <si>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</si>
  <si>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</si>
  <si>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</si>
  <si>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</si>
  <si>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</si>
  <si>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</si>
  <si>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</si>
  <si>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</si>
  <si>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</si>
  <si>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</si>
  <si>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</si>
  <si>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</si>
  <si>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</si>
  <si>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</si>
  <si>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</si>
  <si>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</si>
  <si>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</si>
  <si>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</si>
  <si>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</si>
  <si>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</si>
  <si>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</si>
  <si>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</si>
  <si>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</si>
  <si>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</si>
  <si>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</si>
  <si>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</si>
  <si>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</si>
  <si>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</si>
  <si>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</si>
  <si>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</si>
  <si>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</si>
  <si>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</si>
  <si>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</si>
  <si>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</si>
  <si>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</si>
  <si>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</si>
  <si>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</si>
  <si>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</si>
  <si>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</si>
  <si>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</si>
  <si>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</si>
  <si>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</si>
  <si>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</si>
  <si>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</si>
  <si>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</si>
  <si>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</si>
  <si>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</si>
  <si>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</si>
  <si>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</si>
  <si>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</si>
  <si>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</si>
  <si>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</si>
  <si>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</si>
  <si>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</si>
  <si>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</si>
  <si>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</si>
  <si>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</si>
  <si>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</si>
  <si>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</si>
  <si>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</si>
  <si>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</si>
  <si>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</si>
  <si>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</si>
  <si>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</si>
  <si>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</si>
  <si>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</si>
  <si>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</si>
  <si>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</si>
  <si>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</si>
  <si>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</si>
  <si>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</si>
  <si>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</si>
  <si>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</si>
  <si>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</si>
  <si>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</si>
  <si>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</si>
  <si>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</si>
  <si>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</si>
  <si>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</si>
  <si>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</si>
  <si>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</si>
  <si>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</si>
  <si>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</si>
  <si>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</si>
  <si>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</si>
  <si>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</si>
  <si>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</si>
  <si>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</si>
  <si>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</si>
  <si>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</si>
  <si>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</si>
  <si>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</si>
  <si>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</si>
  <si>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</si>
  <si>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</si>
  <si>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</si>
  <si>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</si>
  <si>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</si>
  <si>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</si>
  <si>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</si>
  <si>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</si>
  <si>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</si>
  <si>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</si>
  <si>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</si>
  <si>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</si>
  <si>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</si>
  <si>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</si>
  <si>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</si>
  <si>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</si>
  <si>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</si>
  <si>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</si>
  <si>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</si>
  <si>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</si>
  <si>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</si>
  <si>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</si>
  <si>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</si>
  <si>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</si>
  <si>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</si>
  <si>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</si>
  <si>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</si>
  <si>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</si>
  <si>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</si>
  <si>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</si>
  <si>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</si>
  <si>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</si>
  <si>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</si>
  <si>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</si>
  <si>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</si>
  <si>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</si>
  <si>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</si>
  <si>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</si>
  <si>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</si>
  <si>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</si>
  <si>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</si>
  <si>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</si>
  <si>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</si>
  <si>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</si>
  <si>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</si>
  <si>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</si>
  <si>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</si>
  <si>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</si>
  <si>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</si>
  <si>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</si>
  <si>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</si>
  <si>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</si>
  <si>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</si>
  <si>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</si>
  <si>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</si>
  <si>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</si>
  <si>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</si>
  <si>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</si>
  <si>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</si>
  <si>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</si>
  <si>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</si>
  <si>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</si>
  <si>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</si>
  <si>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</si>
  <si>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</si>
  <si>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</si>
  <si>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</si>
  <si>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</si>
  <si>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</si>
  <si>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</si>
  <si>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</si>
  <si>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</si>
  <si>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</si>
  <si>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</si>
  <si>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</si>
  <si>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</si>
  <si>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</si>
  <si>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</si>
  <si>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</si>
  <si>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</si>
  <si>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</si>
  <si>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</si>
  <si>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</si>
  <si>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</si>
  <si>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</si>
  <si>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</si>
  <si>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</si>
  <si>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</si>
  <si>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</si>
  <si>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</si>
  <si>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</si>
  <si>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</si>
  <si>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</si>
  <si>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</si>
  <si>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</si>
  <si>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</si>
  <si>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</si>
  <si>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</si>
  <si>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</si>
  <si>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</si>
  <si>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</si>
  <si>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</si>
  <si>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</si>
  <si>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</si>
  <si>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</si>
  <si>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</si>
  <si>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</si>
  <si>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</si>
  <si>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</si>
  <si>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</si>
  <si>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</si>
  <si>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</si>
  <si>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</si>
  <si>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</si>
  <si>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</si>
  <si>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</si>
  <si>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</si>
  <si>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</si>
  <si>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</si>
  <si>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</si>
  <si>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</si>
  <si>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</si>
  <si>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</si>
  <si>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</si>
  <si>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</si>
  <si>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</si>
  <si>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</si>
  <si>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</si>
  <si>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</si>
  <si>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</si>
  <si>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</si>
  <si>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</si>
  <si>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</si>
  <si>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</si>
  <si>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</si>
  <si>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</si>
  <si>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</si>
  <si>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</si>
  <si>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</si>
  <si>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</si>
  <si>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</si>
  <si>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</si>
  <si>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</si>
  <si>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</si>
  <si>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</si>
  <si>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</si>
  <si>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</si>
  <si>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</si>
  <si>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</si>
  <si>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</si>
  <si>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</si>
  <si>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</si>
  <si>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</si>
  <si>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</si>
  <si>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</si>
  <si>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</si>
  <si>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</si>
  <si>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</si>
  <si>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</si>
  <si>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</si>
  <si>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</si>
  <si>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</si>
  <si>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</si>
  <si>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</si>
  <si>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</si>
  <si>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</si>
  <si>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</si>
  <si>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</si>
  <si>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</si>
  <si>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</si>
  <si>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</si>
  <si>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</si>
  <si>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</si>
  <si>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</si>
  <si>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</si>
  <si>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</si>
  <si>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</si>
  <si>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</si>
  <si>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</si>
  <si>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</si>
  <si>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</si>
  <si>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</si>
  <si>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</si>
  <si>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</si>
  <si>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</si>
  <si>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</si>
  <si>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</si>
  <si>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</si>
  <si>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</si>
  <si>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</si>
  <si>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</si>
  <si>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</si>
  <si>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</si>
  <si>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AUDITOR ADJUSTMENTS</t>
  </si>
  <si>
    <t>\</t>
  </si>
  <si>
    <t>NOTTINGHAM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</si>
</sst>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B92F0-8C3E-4799-9446-483FE93D72E4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G655" sqref="G65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896</v>
      </c>
      <c r="B2" s="21">
        <v>413</v>
      </c>
      <c r="C2" s="21">
        <v>413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334895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/>
      <c r="G12" s="18">
        <v>8814.34</v>
      </c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25416</v>
      </c>
      <c r="G13" s="18">
        <v>10480</v>
      </c>
      <c r="H13" s="18"/>
      <c r="I13" s="18"/>
      <c r="J13" s="67">
        <f>SUM(I434)</f>
        <v>95086.82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35907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918.26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396218</v>
      </c>
      <c r="G19" s="41">
        <f>SUM(G9:G18)</f>
        <v>20212.599999999999</v>
      </c>
      <c r="H19" s="41">
        <f>SUM(H9:H18)</f>
        <v>0</v>
      </c>
      <c r="I19" s="41">
        <f>SUM(I9:I18)</f>
        <v>0</v>
      </c>
      <c r="J19" s="41">
        <f>SUM(J9:J18)</f>
        <v>95086.82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8814</v>
      </c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85442</v>
      </c>
      <c r="G25" s="18">
        <v>32.340000000000003</v>
      </c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17061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>
        <v>106</v>
      </c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111317</v>
      </c>
      <c r="G33" s="41">
        <f>SUM(G23:G32)</f>
        <v>138.34</v>
      </c>
      <c r="H33" s="41">
        <f>SUM(H23:H32)</f>
        <v>0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20074</v>
      </c>
      <c r="H41" s="18"/>
      <c r="I41" s="18"/>
      <c r="J41" s="13">
        <f>SUM(I449)</f>
        <v>95086.82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284901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284901</v>
      </c>
      <c r="G43" s="41">
        <f>SUM(G35:G42)</f>
        <v>20074</v>
      </c>
      <c r="H43" s="41">
        <f>SUM(H35:H42)</f>
        <v>0</v>
      </c>
      <c r="I43" s="41">
        <f>SUM(I35:I42)</f>
        <v>0</v>
      </c>
      <c r="J43" s="41">
        <f>SUM(J35:J42)</f>
        <v>95086.82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396218</v>
      </c>
      <c r="G44" s="41">
        <f>G43+G33</f>
        <v>20212.34</v>
      </c>
      <c r="H44" s="41">
        <f>H43+H33</f>
        <v>0</v>
      </c>
      <c r="I44" s="41">
        <f>I43+I33</f>
        <v>0</v>
      </c>
      <c r="J44" s="41">
        <f>J43+J33</f>
        <v>95086.82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6194712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6194712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79268.09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79268.09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656.98</v>
      </c>
      <c r="G88" s="18"/>
      <c r="H88" s="18"/>
      <c r="I88" s="18"/>
      <c r="J88" s="18">
        <v>764.3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112042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929.25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f>893.96</f>
        <v>893.96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2480.19</v>
      </c>
      <c r="G103" s="41">
        <f>SUM(G88:G102)</f>
        <v>112042</v>
      </c>
      <c r="H103" s="41">
        <f>SUM(H88:H102)</f>
        <v>0</v>
      </c>
      <c r="I103" s="41">
        <f>SUM(I88:I102)</f>
        <v>0</v>
      </c>
      <c r="J103" s="41">
        <f>SUM(J88:J102)</f>
        <v>764.3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6276460.2800000003</v>
      </c>
      <c r="G104" s="41">
        <f>G52+G103</f>
        <v>112042</v>
      </c>
      <c r="H104" s="41">
        <f>H52+H71+H86+H103</f>
        <v>0</v>
      </c>
      <c r="I104" s="41">
        <f>I52+I103</f>
        <v>0</v>
      </c>
      <c r="J104" s="41">
        <f>J52+J103</f>
        <v>764.3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f>1167725-323791.18</f>
        <v>843933.82000000007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1341073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323791.18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2508798.0000000005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1800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56312.51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2313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58112.51</v>
      </c>
      <c r="G128" s="41">
        <f>SUM(G115:G127)</f>
        <v>2313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2566910.5100000002</v>
      </c>
      <c r="G132" s="41">
        <f>G113+SUM(G128:G129)</f>
        <v>2313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/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56019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73711.070000000007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 t="s">
        <v>895</v>
      </c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73711.070000000007</v>
      </c>
      <c r="G154" s="41">
        <f>SUM(G142:G153)</f>
        <v>56019</v>
      </c>
      <c r="H154" s="41">
        <f>SUM(H142:H153)</f>
        <v>0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73711.070000000007</v>
      </c>
      <c r="G161" s="41">
        <f>G139+G154+SUM(G155:G160)</f>
        <v>56019</v>
      </c>
      <c r="H161" s="41">
        <f>H139+H154+SUM(H155:H160)</f>
        <v>0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25000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25000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7650</v>
      </c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7650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7650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25000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8924731.8600000013</v>
      </c>
      <c r="G185" s="47">
        <f>G104+G132+G161+G184</f>
        <v>170374</v>
      </c>
      <c r="H185" s="47">
        <f>H104+H132+H161+H184</f>
        <v>0</v>
      </c>
      <c r="I185" s="47">
        <f>I104+I132+I161+I184</f>
        <v>0</v>
      </c>
      <c r="J185" s="47">
        <f>J104+J132+J184</f>
        <v>25764.3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1632213.31+55306.88+30702.6+50230.17</f>
        <v>1768452.96</v>
      </c>
      <c r="G189" s="18">
        <f>227120.38+14397.94+19812.5+2760.41+180.17+1200+131900.35+4230.98+79.2+5063.12+120895.22+2980+3147</f>
        <v>533767.27</v>
      </c>
      <c r="H189" s="18">
        <f>165.75+236.2+20690.08</f>
        <v>21092.030000000002</v>
      </c>
      <c r="I189" s="18">
        <f>17381.53+3796.82+1162.89+525.98+876.09+960.64+1170.61+5796.55+427.91+3832.62+4490.63+2390.74+16465.44+2559.02+106.39</f>
        <v>61943.859999999993</v>
      </c>
      <c r="J189" s="18">
        <f>1381.9+240.74</f>
        <v>1622.64</v>
      </c>
      <c r="K189" s="18">
        <f>107</f>
        <v>107</v>
      </c>
      <c r="L189" s="19">
        <f>SUM(F189:K189)</f>
        <v>2386985.7599999998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210997.58+327009.3+15717+27183.21</f>
        <v>580907.09</v>
      </c>
      <c r="G190" s="18">
        <f>124448.54+2509.46+8500+1176.81+44556.26+15869.25+1526.2+620.17</f>
        <v>199206.69000000003</v>
      </c>
      <c r="H190" s="18">
        <f>3272.5+478301.52</f>
        <v>481574.02</v>
      </c>
      <c r="I190" s="18">
        <f>307.75+2001.44+1022.68+2061.41</f>
        <v>5393.28</v>
      </c>
      <c r="J190" s="18">
        <f>1960.14</f>
        <v>1960.14</v>
      </c>
      <c r="K190" s="18"/>
      <c r="L190" s="19">
        <f>SUM(F190:K190)</f>
        <v>1269041.22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f>9250+3000+11679</f>
        <v>23929</v>
      </c>
      <c r="G192" s="18">
        <f>937.19+797.73+893.51+77.86+191.01</f>
        <v>2897.3</v>
      </c>
      <c r="H192" s="18">
        <f>2660+285</f>
        <v>2945</v>
      </c>
      <c r="I192" s="18">
        <f>126.55</f>
        <v>126.55</v>
      </c>
      <c r="J192" s="18">
        <f>2034.69+299.99</f>
        <v>2334.6800000000003</v>
      </c>
      <c r="K192" s="18">
        <v>275</v>
      </c>
      <c r="L192" s="19">
        <f>SUM(F192:K192)</f>
        <v>32507.53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66973+61566.2+150+71345.5</f>
        <v>200034.7</v>
      </c>
      <c r="G194" s="18">
        <f>6906.01+533.8+86.71+5123.31+4344.61+84.8+373.32+16683.39+533.8+86.71+4559.35+3906.5+84.8+373.32+17433.39+533.8+750+133.6+5458.06+4147.52+169.6+422.81</f>
        <v>72729.210000000006</v>
      </c>
      <c r="H194" s="18">
        <f>150+114+8272.16+11530+240+5399.8+37498.46+17822.02+63392</f>
        <v>144418.44</v>
      </c>
      <c r="I194" s="18">
        <f>322.18+458.55+1509.68+246+546.19</f>
        <v>3082.6</v>
      </c>
      <c r="J194" s="18"/>
      <c r="K194" s="18"/>
      <c r="L194" s="19">
        <f t="shared" ref="L194:L200" si="0">SUM(F194:K194)</f>
        <v>420264.95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2580+55257+19120.92+210</f>
        <v>77167.92</v>
      </c>
      <c r="G195" s="18">
        <f>168.32+127.34+16983+17433.39+533.8+750+142.49+5706.19+4138.68+169.6+422.81</f>
        <v>46575.62</v>
      </c>
      <c r="H195" s="18">
        <f>2200+1980.4+11987.99+136.91+814.11</f>
        <v>17119.41</v>
      </c>
      <c r="I195" s="18">
        <f>1060.85+5986.29+218+535.72+1837.37+317.97+1341.4+1733.14</f>
        <v>13030.739999999998</v>
      </c>
      <c r="J195" s="18">
        <f>1209.01+199.99+19853.08+2658.25+1146</f>
        <v>25066.33</v>
      </c>
      <c r="K195" s="18"/>
      <c r="L195" s="19">
        <f t="shared" si="0"/>
        <v>178960.02000000002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7500+200+2000+350+1872</f>
        <v>11922</v>
      </c>
      <c r="G196" s="18">
        <f>806.69+79.18</f>
        <v>885.87000000000012</v>
      </c>
      <c r="H196" s="18">
        <f>7000+24684.31+540.24+848+5627.42+1350+301832.2</f>
        <v>341882.17000000004</v>
      </c>
      <c r="I196" s="18"/>
      <c r="J196" s="18"/>
      <c r="K196" s="18">
        <v>3566.82</v>
      </c>
      <c r="L196" s="19">
        <f t="shared" si="0"/>
        <v>358256.86000000004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f>85169+67000+64011.2</f>
        <v>216180.2</v>
      </c>
      <c r="G197" s="18">
        <f>47691+2135.2+95.1+335.75+16546.46+5859.99+11348.98+580.88+778+339.2+640.92</f>
        <v>86351.48</v>
      </c>
      <c r="H197" s="18">
        <f>842.73+56.4+6076.76+3474.3+2168.8+233.28</f>
        <v>12852.270000000002</v>
      </c>
      <c r="I197" s="18">
        <f>740+1800</f>
        <v>2540</v>
      </c>
      <c r="J197" s="18"/>
      <c r="K197" s="18">
        <f>670</f>
        <v>670</v>
      </c>
      <c r="L197" s="19">
        <f t="shared" si="0"/>
        <v>318593.95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f>39457.6</f>
        <v>39457.599999999999</v>
      </c>
      <c r="G198" s="18">
        <f>6692.64+533.8+87+3018.6+3612.14+84.8+190.14</f>
        <v>14219.119999999999</v>
      </c>
      <c r="H198" s="18">
        <f>874.64+120+416.79</f>
        <v>1411.43</v>
      </c>
      <c r="I198" s="18">
        <f>201.94+1928.75</f>
        <v>2130.69</v>
      </c>
      <c r="J198" s="18"/>
      <c r="K198" s="18"/>
      <c r="L198" s="19">
        <f t="shared" si="0"/>
        <v>57218.840000000004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f>44320.9+66783.24+7575.32</f>
        <v>118679.46000000002</v>
      </c>
      <c r="G199" s="18">
        <f>21743.92+1601.4+1375+264.55+9110.38+9064.77+424+3307.57</f>
        <v>46891.590000000004</v>
      </c>
      <c r="H199" s="18">
        <f>7323.71+10093.08+16108.84+51726.03+2287+1264.22+19612+123.75</f>
        <v>108538.63</v>
      </c>
      <c r="I199" s="18">
        <f>22653.92+48626.18+43272</f>
        <v>114552.1</v>
      </c>
      <c r="J199" s="18">
        <f>1060+1999.96+7535.34</f>
        <v>10595.3</v>
      </c>
      <c r="K199" s="18"/>
      <c r="L199" s="19">
        <f t="shared" si="0"/>
        <v>399257.08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325700+5250.35+3676.08+127997.5</f>
        <v>462623.93</v>
      </c>
      <c r="I200" s="18"/>
      <c r="J200" s="18"/>
      <c r="K200" s="18"/>
      <c r="L200" s="19">
        <f t="shared" si="0"/>
        <v>462623.93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3036730.93</v>
      </c>
      <c r="G203" s="41">
        <f t="shared" si="1"/>
        <v>1003524.15</v>
      </c>
      <c r="H203" s="41">
        <f t="shared" si="1"/>
        <v>1594457.33</v>
      </c>
      <c r="I203" s="41">
        <f t="shared" si="1"/>
        <v>202799.82</v>
      </c>
      <c r="J203" s="41">
        <f t="shared" si="1"/>
        <v>41579.089999999997</v>
      </c>
      <c r="K203" s="41">
        <f t="shared" si="1"/>
        <v>4618.82</v>
      </c>
      <c r="L203" s="41">
        <f t="shared" si="1"/>
        <v>5883710.1399999997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f>1575946.54+837935.46</f>
        <v>2413882</v>
      </c>
      <c r="I225" s="18"/>
      <c r="J225" s="18"/>
      <c r="K225" s="18"/>
      <c r="L225" s="19">
        <f>SUM(F225:K225)</f>
        <v>2413882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f>41008.12+6756+500637.05</f>
        <v>548401.17000000004</v>
      </c>
      <c r="I226" s="18"/>
      <c r="J226" s="18"/>
      <c r="K226" s="18"/>
      <c r="L226" s="19">
        <f>SUM(F226:K226)</f>
        <v>548401.17000000004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f>108540+7650.5+178+15617.4</f>
        <v>131985.9</v>
      </c>
      <c r="I236" s="18"/>
      <c r="J236" s="18"/>
      <c r="K236" s="18"/>
      <c r="L236" s="19">
        <f t="shared" si="4"/>
        <v>131985.9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3094269.07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3094269.07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3036730.93</v>
      </c>
      <c r="G249" s="41">
        <f t="shared" si="8"/>
        <v>1003524.15</v>
      </c>
      <c r="H249" s="41">
        <f t="shared" si="8"/>
        <v>4688726.4000000004</v>
      </c>
      <c r="I249" s="41">
        <f t="shared" si="8"/>
        <v>202799.82</v>
      </c>
      <c r="J249" s="41">
        <f t="shared" si="8"/>
        <v>41579.089999999997</v>
      </c>
      <c r="K249" s="41">
        <f t="shared" si="8"/>
        <v>4618.82</v>
      </c>
      <c r="L249" s="41">
        <f t="shared" si="8"/>
        <v>8977979.209999999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25000</v>
      </c>
      <c r="L258" s="19">
        <f t="shared" si="9"/>
        <v>25000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25000</v>
      </c>
      <c r="L262" s="41">
        <f t="shared" si="9"/>
        <v>25000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3036730.93</v>
      </c>
      <c r="G263" s="42">
        <f t="shared" si="11"/>
        <v>1003524.15</v>
      </c>
      <c r="H263" s="42">
        <f t="shared" si="11"/>
        <v>4688726.4000000004</v>
      </c>
      <c r="I263" s="42">
        <f t="shared" si="11"/>
        <v>202799.82</v>
      </c>
      <c r="J263" s="42">
        <f t="shared" si="11"/>
        <v>41579.089999999997</v>
      </c>
      <c r="K263" s="42">
        <f t="shared" si="11"/>
        <v>29618.82</v>
      </c>
      <c r="L263" s="42">
        <f t="shared" si="11"/>
        <v>9002979.209999999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0</v>
      </c>
      <c r="I282" s="42">
        <f t="shared" si="13"/>
        <v>0</v>
      </c>
      <c r="J282" s="42">
        <f t="shared" si="13"/>
        <v>0</v>
      </c>
      <c r="K282" s="42">
        <f t="shared" si="13"/>
        <v>0</v>
      </c>
      <c r="L282" s="41">
        <f t="shared" si="13"/>
        <v>0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0</v>
      </c>
      <c r="G330" s="41">
        <f t="shared" si="20"/>
        <v>0</v>
      </c>
      <c r="H330" s="41">
        <f t="shared" si="20"/>
        <v>0</v>
      </c>
      <c r="I330" s="41">
        <f t="shared" si="20"/>
        <v>0</v>
      </c>
      <c r="J330" s="41">
        <f t="shared" si="20"/>
        <v>0</v>
      </c>
      <c r="K330" s="41">
        <f t="shared" si="20"/>
        <v>0</v>
      </c>
      <c r="L330" s="41">
        <f t="shared" si="20"/>
        <v>0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0</v>
      </c>
      <c r="G344" s="41">
        <f>G330</f>
        <v>0</v>
      </c>
      <c r="H344" s="41">
        <f>H330</f>
        <v>0</v>
      </c>
      <c r="I344" s="41">
        <f>I330</f>
        <v>0</v>
      </c>
      <c r="J344" s="41">
        <f>J330</f>
        <v>0</v>
      </c>
      <c r="K344" s="47">
        <f>K330+K343</f>
        <v>0</v>
      </c>
      <c r="L344" s="41">
        <f>L330+L343</f>
        <v>0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f>64580.08+1107.58</f>
        <v>65687.66</v>
      </c>
      <c r="G350" s="18">
        <f>13085.06+152.28+5139.97+3201.7+312+169+469.76+1500</f>
        <v>24029.77</v>
      </c>
      <c r="H350" s="18">
        <f>1748.5+525.72+188.5</f>
        <v>2462.7200000000003</v>
      </c>
      <c r="I350" s="18">
        <v>69101.850000000006</v>
      </c>
      <c r="J350" s="18">
        <v>472.74</v>
      </c>
      <c r="K350" s="18"/>
      <c r="L350" s="13">
        <f>SUM(F350:K350)</f>
        <v>161754.74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65687.66</v>
      </c>
      <c r="G354" s="47">
        <f t="shared" si="22"/>
        <v>24029.77</v>
      </c>
      <c r="H354" s="47">
        <f t="shared" si="22"/>
        <v>2462.7200000000003</v>
      </c>
      <c r="I354" s="47">
        <f t="shared" si="22"/>
        <v>69101.850000000006</v>
      </c>
      <c r="J354" s="47">
        <f t="shared" si="22"/>
        <v>472.74</v>
      </c>
      <c r="K354" s="47">
        <f t="shared" si="22"/>
        <v>0</v>
      </c>
      <c r="L354" s="47">
        <f t="shared" si="22"/>
        <v>161754.74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66114.009999999995</v>
      </c>
      <c r="G359" s="18"/>
      <c r="H359" s="18"/>
      <c r="I359" s="56">
        <f>SUM(F359:H359)</f>
        <v>66114.009999999995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2987.84</v>
      </c>
      <c r="G360" s="63"/>
      <c r="H360" s="63"/>
      <c r="I360" s="56">
        <f>SUM(F360:H360)</f>
        <v>2987.84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69101.849999999991</v>
      </c>
      <c r="G361" s="47">
        <f>SUM(G359:G360)</f>
        <v>0</v>
      </c>
      <c r="H361" s="47">
        <f>SUM(H359:H360)</f>
        <v>0</v>
      </c>
      <c r="I361" s="47">
        <f>SUM(I359:I360)</f>
        <v>69101.849999999991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>
        <v>10000</v>
      </c>
      <c r="H381" s="18">
        <f>84.22+277.45</f>
        <v>361.66999999999996</v>
      </c>
      <c r="I381" s="18"/>
      <c r="J381" s="24" t="s">
        <v>312</v>
      </c>
      <c r="K381" s="24" t="s">
        <v>312</v>
      </c>
      <c r="L381" s="56">
        <f t="shared" si="25"/>
        <v>10361.67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10000</v>
      </c>
      <c r="H385" s="139">
        <f>SUM(H379:H384)</f>
        <v>361.66999999999996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10361.67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15000</v>
      </c>
      <c r="H389" s="18">
        <f>78.95+323.68</f>
        <v>402.63</v>
      </c>
      <c r="I389" s="18"/>
      <c r="J389" s="24" t="s">
        <v>312</v>
      </c>
      <c r="K389" s="24" t="s">
        <v>312</v>
      </c>
      <c r="L389" s="56">
        <f t="shared" si="26"/>
        <v>15402.63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15000</v>
      </c>
      <c r="H393" s="47">
        <f>SUM(H387:H392)</f>
        <v>402.63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15402.63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25000</v>
      </c>
      <c r="H400" s="47">
        <f>H385+H393+H399</f>
        <v>764.3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25764.3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>
        <v>7650</v>
      </c>
      <c r="L407" s="56">
        <f t="shared" si="27"/>
        <v>7650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7650</v>
      </c>
      <c r="L411" s="47">
        <f t="shared" si="28"/>
        <v>7650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7650</v>
      </c>
      <c r="L426" s="47">
        <f t="shared" si="32"/>
        <v>7650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>
        <v>43879.28</v>
      </c>
      <c r="G434" s="18">
        <v>51207.54</v>
      </c>
      <c r="H434" s="18"/>
      <c r="I434" s="56">
        <f t="shared" si="33"/>
        <v>95086.82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43879.28</v>
      </c>
      <c r="G438" s="13">
        <f>SUM(G431:G437)</f>
        <v>51207.54</v>
      </c>
      <c r="H438" s="13">
        <f>SUM(H431:H437)</f>
        <v>0</v>
      </c>
      <c r="I438" s="13">
        <f>SUM(I431:I437)</f>
        <v>95086.82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43879.28</v>
      </c>
      <c r="G449" s="18">
        <v>51207.54</v>
      </c>
      <c r="H449" s="18"/>
      <c r="I449" s="56">
        <f>SUM(F449:H449)</f>
        <v>95086.82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43879.28</v>
      </c>
      <c r="G450" s="83">
        <f>SUM(G446:G449)</f>
        <v>51207.54</v>
      </c>
      <c r="H450" s="83">
        <f>SUM(H446:H449)</f>
        <v>0</v>
      </c>
      <c r="I450" s="83">
        <f>SUM(I446:I449)</f>
        <v>95086.82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43879.28</v>
      </c>
      <c r="G451" s="42">
        <f>G444+G450</f>
        <v>51207.54</v>
      </c>
      <c r="H451" s="42">
        <f>H444+H450</f>
        <v>0</v>
      </c>
      <c r="I451" s="42">
        <f>I444+I450</f>
        <v>95086.82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364054.58</v>
      </c>
      <c r="G455" s="18">
        <v>12310</v>
      </c>
      <c r="H455" s="18"/>
      <c r="I455" s="18"/>
      <c r="J455" s="18">
        <v>76972.52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8924731.8599999994</v>
      </c>
      <c r="G458" s="18">
        <v>170374</v>
      </c>
      <c r="H458" s="18"/>
      <c r="I458" s="18"/>
      <c r="J458" s="18">
        <f>25000+764.3</f>
        <v>25764.3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8924731.8599999994</v>
      </c>
      <c r="G460" s="53">
        <f>SUM(G458:G459)</f>
        <v>170374</v>
      </c>
      <c r="H460" s="53">
        <f>SUM(H458:H459)</f>
        <v>0</v>
      </c>
      <c r="I460" s="53">
        <f>SUM(I458:I459)</f>
        <v>0</v>
      </c>
      <c r="J460" s="53">
        <f>SUM(J458:J459)</f>
        <v>25764.3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9002979.2100000009</v>
      </c>
      <c r="G462" s="18">
        <v>161755</v>
      </c>
      <c r="H462" s="18"/>
      <c r="I462" s="18"/>
      <c r="J462" s="18">
        <v>7650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>
        <v>906.23</v>
      </c>
      <c r="G463" s="18">
        <v>855</v>
      </c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9003885.4400000013</v>
      </c>
      <c r="G464" s="53">
        <f>SUM(G462:G463)</f>
        <v>162610</v>
      </c>
      <c r="H464" s="53">
        <f>SUM(H462:H463)</f>
        <v>0</v>
      </c>
      <c r="I464" s="53">
        <f>SUM(I462:I463)</f>
        <v>0</v>
      </c>
      <c r="J464" s="53">
        <f>SUM(J462:J463)</f>
        <v>7650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284900.99999999814</v>
      </c>
      <c r="G466" s="53">
        <f>(G455+G460)- G464</f>
        <v>20074</v>
      </c>
      <c r="H466" s="53">
        <f>(H455+H460)- H464</f>
        <v>0</v>
      </c>
      <c r="I466" s="53">
        <f>(I455+I460)- I464</f>
        <v>0</v>
      </c>
      <c r="J466" s="53">
        <f>(J455+J460)- J464</f>
        <v>95086.82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 t="s">
        <v>894</v>
      </c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210997.58+327009.3+15717+27183.21</f>
        <v>580907.09</v>
      </c>
      <c r="G511" s="18">
        <v>199206.69</v>
      </c>
      <c r="H511" s="18">
        <v>481574.02</v>
      </c>
      <c r="I511" s="18">
        <v>5393.28</v>
      </c>
      <c r="J511" s="18">
        <v>1960.14</v>
      </c>
      <c r="K511" s="18"/>
      <c r="L511" s="88">
        <f>SUM(F511:K511)</f>
        <v>1269041.22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580907.09</v>
      </c>
      <c r="G514" s="108">
        <f t="shared" ref="G514:L514" si="35">SUM(G511:G513)</f>
        <v>199206.69</v>
      </c>
      <c r="H514" s="108">
        <f t="shared" si="35"/>
        <v>481574.02</v>
      </c>
      <c r="I514" s="108">
        <f t="shared" si="35"/>
        <v>5393.28</v>
      </c>
      <c r="J514" s="108">
        <f t="shared" si="35"/>
        <v>1960.14</v>
      </c>
      <c r="K514" s="108">
        <f t="shared" si="35"/>
        <v>0</v>
      </c>
      <c r="L514" s="89">
        <f t="shared" si="35"/>
        <v>1269041.22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66973+71345.5</f>
        <v>138318.5</v>
      </c>
      <c r="G516" s="18">
        <f>6906.01+533.8+17433.39+533.8+750+86.71+5123.31+4344.61+84.8+373.32+133.6+5458.06+4147.52+169.6+422.81</f>
        <v>46501.339999999989</v>
      </c>
      <c r="H516" s="18">
        <f>150+114+63392</f>
        <v>63656</v>
      </c>
      <c r="I516" s="18">
        <f>1509.68+246+546.19</f>
        <v>2301.87</v>
      </c>
      <c r="J516" s="18"/>
      <c r="K516" s="18"/>
      <c r="L516" s="88">
        <f>SUM(F516:K516)</f>
        <v>250777.71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138318.5</v>
      </c>
      <c r="G519" s="89">
        <f t="shared" ref="G519:L519" si="36">SUM(G516:G518)</f>
        <v>46501.339999999989</v>
      </c>
      <c r="H519" s="89">
        <f t="shared" si="36"/>
        <v>63656</v>
      </c>
      <c r="I519" s="89">
        <f t="shared" si="36"/>
        <v>2301.87</v>
      </c>
      <c r="J519" s="89">
        <f t="shared" si="36"/>
        <v>0</v>
      </c>
      <c r="K519" s="89">
        <f t="shared" si="36"/>
        <v>0</v>
      </c>
      <c r="L519" s="89">
        <f t="shared" si="36"/>
        <v>250777.71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31974.22</v>
      </c>
      <c r="G521" s="18">
        <v>13934.92</v>
      </c>
      <c r="H521" s="18">
        <v>877.51</v>
      </c>
      <c r="I521" s="18">
        <v>770.22</v>
      </c>
      <c r="J521" s="18"/>
      <c r="K521" s="18"/>
      <c r="L521" s="88">
        <f>SUM(F521:K521)</f>
        <v>47556.87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21024.14</v>
      </c>
      <c r="G523" s="18">
        <v>9162.69</v>
      </c>
      <c r="H523" s="18">
        <v>576.99</v>
      </c>
      <c r="I523" s="18">
        <v>506.45</v>
      </c>
      <c r="J523" s="18"/>
      <c r="K523" s="18"/>
      <c r="L523" s="88">
        <f>SUM(F523:K523)</f>
        <v>31270.270000000004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52998.36</v>
      </c>
      <c r="G524" s="89">
        <f t="shared" ref="G524:L524" si="37">SUM(G521:G523)</f>
        <v>23097.61</v>
      </c>
      <c r="H524" s="89">
        <f t="shared" si="37"/>
        <v>1454.5</v>
      </c>
      <c r="I524" s="89">
        <f t="shared" si="37"/>
        <v>1276.67</v>
      </c>
      <c r="J524" s="89">
        <f t="shared" si="37"/>
        <v>0</v>
      </c>
      <c r="K524" s="89">
        <f t="shared" si="37"/>
        <v>0</v>
      </c>
      <c r="L524" s="89">
        <f t="shared" si="37"/>
        <v>78827.140000000014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127997.5</v>
      </c>
      <c r="I531" s="18"/>
      <c r="J531" s="18"/>
      <c r="K531" s="18"/>
      <c r="L531" s="88">
        <f>SUM(F531:K531)</f>
        <v>127997.5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15617.4</v>
      </c>
      <c r="I533" s="18"/>
      <c r="J533" s="18"/>
      <c r="K533" s="18"/>
      <c r="L533" s="88">
        <f>SUM(F533:K533)</f>
        <v>15617.4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143614.9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143614.9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772223.95</v>
      </c>
      <c r="G535" s="89">
        <f t="shared" ref="G535:L535" si="40">G514+G519+G524+G529+G534</f>
        <v>268805.64</v>
      </c>
      <c r="H535" s="89">
        <f t="shared" si="40"/>
        <v>690299.42</v>
      </c>
      <c r="I535" s="89">
        <f t="shared" si="40"/>
        <v>8971.82</v>
      </c>
      <c r="J535" s="89">
        <f t="shared" si="40"/>
        <v>1960.14</v>
      </c>
      <c r="K535" s="89">
        <f t="shared" si="40"/>
        <v>0</v>
      </c>
      <c r="L535" s="89">
        <f t="shared" si="40"/>
        <v>1742260.9699999997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1269041.22</v>
      </c>
      <c r="G539" s="87">
        <f>L516</f>
        <v>250777.71</v>
      </c>
      <c r="H539" s="87">
        <f>L521</f>
        <v>47556.87</v>
      </c>
      <c r="I539" s="87">
        <f>L526</f>
        <v>0</v>
      </c>
      <c r="J539" s="87">
        <f>L531</f>
        <v>127997.5</v>
      </c>
      <c r="K539" s="87">
        <f>SUM(F539:J539)</f>
        <v>1695373.3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31270.270000000004</v>
      </c>
      <c r="I541" s="87">
        <f>L528</f>
        <v>0</v>
      </c>
      <c r="J541" s="87">
        <f>L533</f>
        <v>15617.4</v>
      </c>
      <c r="K541" s="87">
        <f>SUM(F541:J541)</f>
        <v>46887.670000000006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1269041.22</v>
      </c>
      <c r="G542" s="89">
        <f t="shared" si="41"/>
        <v>250777.71</v>
      </c>
      <c r="H542" s="89">
        <f t="shared" si="41"/>
        <v>78827.140000000014</v>
      </c>
      <c r="I542" s="89">
        <f t="shared" si="41"/>
        <v>0</v>
      </c>
      <c r="J542" s="89">
        <f t="shared" si="41"/>
        <v>143614.9</v>
      </c>
      <c r="K542" s="89">
        <f t="shared" si="41"/>
        <v>1742260.97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f>1575946.54-15120</f>
        <v>1560826.54</v>
      </c>
      <c r="I565" s="87">
        <f>SUM(F565:H565)</f>
        <v>1560826.54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>
        <v>837935.46</v>
      </c>
      <c r="I567" s="87">
        <f t="shared" si="46"/>
        <v>837935.46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>
        <v>41008.120000000003</v>
      </c>
      <c r="I569" s="87">
        <f t="shared" si="46"/>
        <v>41008.120000000003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>
        <v>6756</v>
      </c>
      <c r="I571" s="87">
        <f t="shared" si="46"/>
        <v>6756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478301.52</v>
      </c>
      <c r="G572" s="18"/>
      <c r="H572" s="18">
        <v>500637.05</v>
      </c>
      <c r="I572" s="87">
        <f t="shared" si="46"/>
        <v>978938.57000000007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f>325700</f>
        <v>325700</v>
      </c>
      <c r="I581" s="18"/>
      <c r="J581" s="18">
        <f>108540+7650.5+178</f>
        <v>116368.5</v>
      </c>
      <c r="K581" s="104">
        <f t="shared" ref="K581:K587" si="47">SUM(H581:J581)</f>
        <v>442068.5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127997.5</v>
      </c>
      <c r="I582" s="18"/>
      <c r="J582" s="18">
        <v>15617.4</v>
      </c>
      <c r="K582" s="104">
        <f t="shared" si="47"/>
        <v>143614.9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3676.08</v>
      </c>
      <c r="I584" s="18"/>
      <c r="J584" s="18"/>
      <c r="K584" s="104">
        <f t="shared" si="47"/>
        <v>3676.08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5250.35</v>
      </c>
      <c r="I585" s="18"/>
      <c r="J585" s="18"/>
      <c r="K585" s="104">
        <f t="shared" si="47"/>
        <v>5250.35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462623.93</v>
      </c>
      <c r="I588" s="108">
        <f>SUM(I581:I587)</f>
        <v>0</v>
      </c>
      <c r="J588" s="108">
        <f>SUM(J581:J587)</f>
        <v>131985.9</v>
      </c>
      <c r="K588" s="108">
        <f>SUM(K581:K587)</f>
        <v>594609.82999999996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1381.9+240.74+1960.14+2034.69+299.99+1209.01+199.99+19853.08+2658.25+1146+1060+1999.96+7535.34</f>
        <v>41579.089999999997</v>
      </c>
      <c r="I594" s="18"/>
      <c r="J594" s="18"/>
      <c r="K594" s="104">
        <f>SUM(H594:J594)</f>
        <v>41579.089999999997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41579.089999999997</v>
      </c>
      <c r="I595" s="108">
        <f>SUM(I592:I594)</f>
        <v>0</v>
      </c>
      <c r="J595" s="108">
        <f>SUM(J592:J594)</f>
        <v>0</v>
      </c>
      <c r="K595" s="108">
        <f>SUM(K592:K594)</f>
        <v>41579.089999999997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396218</v>
      </c>
      <c r="H607" s="109">
        <f>SUM(F44)</f>
        <v>396218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20212.599999999999</v>
      </c>
      <c r="H608" s="109">
        <f>SUM(G44)</f>
        <v>20212.34</v>
      </c>
      <c r="I608" s="121" t="s">
        <v>102</v>
      </c>
      <c r="J608" s="109">
        <f>G608-H608</f>
        <v>0.25999999999839929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0</v>
      </c>
      <c r="H609" s="109">
        <f>SUM(H44)</f>
        <v>0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95086.82</v>
      </c>
      <c r="H611" s="109">
        <f>SUM(J44)</f>
        <v>95086.82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284901</v>
      </c>
      <c r="H612" s="109">
        <f>F466</f>
        <v>284900.99999999814</v>
      </c>
      <c r="I612" s="121" t="s">
        <v>106</v>
      </c>
      <c r="J612" s="109">
        <f t="shared" ref="J612:J645" si="49">G612-H612</f>
        <v>1.862645149230957E-9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20074</v>
      </c>
      <c r="H613" s="109">
        <f>G466</f>
        <v>20074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95086.82</v>
      </c>
      <c r="H616" s="109">
        <f>J466</f>
        <v>95086.82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8924731.8600000013</v>
      </c>
      <c r="H617" s="104">
        <f>SUM(F458)</f>
        <v>8924731.8599999994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170374</v>
      </c>
      <c r="H618" s="104">
        <f>SUM(G458)</f>
        <v>170374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0</v>
      </c>
      <c r="H619" s="104">
        <f>SUM(H458)</f>
        <v>0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25764.3</v>
      </c>
      <c r="H621" s="104">
        <f>SUM(J458)</f>
        <v>25764.3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9002979.209999999</v>
      </c>
      <c r="H622" s="104">
        <f>SUM(F462)</f>
        <v>9002979.2100000009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0</v>
      </c>
      <c r="H623" s="104">
        <f>SUM(H462)</f>
        <v>0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69101.850000000006</v>
      </c>
      <c r="H624" s="104">
        <f>I361</f>
        <v>69101.849999999991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161754.74</v>
      </c>
      <c r="H625" s="104">
        <f>SUM(G462)</f>
        <v>161755</v>
      </c>
      <c r="I625" s="140" t="s">
        <v>123</v>
      </c>
      <c r="J625" s="109">
        <f t="shared" si="49"/>
        <v>-0.26000000000931323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25764.3</v>
      </c>
      <c r="H627" s="164">
        <f>SUM(J458)</f>
        <v>25764.3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7650</v>
      </c>
      <c r="H628" s="164">
        <f>SUM(J462)</f>
        <v>7650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43879.28</v>
      </c>
      <c r="H629" s="104">
        <f>SUM(F451)</f>
        <v>43879.28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51207.54</v>
      </c>
      <c r="H630" s="104">
        <f>SUM(G451)</f>
        <v>51207.54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95086.82</v>
      </c>
      <c r="H632" s="104">
        <f>SUM(I451)</f>
        <v>95086.82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764.3</v>
      </c>
      <c r="H634" s="104">
        <f>H400</f>
        <v>764.3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25000</v>
      </c>
      <c r="H635" s="104">
        <f>G400</f>
        <v>25000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25764.3</v>
      </c>
      <c r="H636" s="104">
        <f>L400</f>
        <v>25764.3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594609.82999999996</v>
      </c>
      <c r="H637" s="104">
        <f>L200+L218+L236</f>
        <v>594609.82999999996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41579.089999999997</v>
      </c>
      <c r="H638" s="104">
        <f>(J249+J330)-(J247+J328)</f>
        <v>41579.089999999997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462623.93</v>
      </c>
      <c r="H639" s="104">
        <f>H588</f>
        <v>462623.93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131985.9</v>
      </c>
      <c r="H641" s="104">
        <f>J588</f>
        <v>131985.9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25000</v>
      </c>
      <c r="H645" s="104">
        <f>K258+K339</f>
        <v>25000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6045464.8799999999</v>
      </c>
      <c r="G650" s="19">
        <f>(L221+L301+L351)</f>
        <v>0</v>
      </c>
      <c r="H650" s="19">
        <f>(L239+L320+L352)</f>
        <v>3094269.07</v>
      </c>
      <c r="I650" s="19">
        <f>SUM(F650:H650)</f>
        <v>9139733.9499999993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112042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112042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462623.93</v>
      </c>
      <c r="G652" s="19">
        <f>(L218+L298)-(J218+J298)</f>
        <v>0</v>
      </c>
      <c r="H652" s="19">
        <f>(L236+L317)-(J236+J317)</f>
        <v>131985.9</v>
      </c>
      <c r="I652" s="19">
        <f>SUM(F652:H652)</f>
        <v>594609.82999999996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519880.61</v>
      </c>
      <c r="G653" s="200">
        <f>SUM(G565:G577)+SUM(I592:I594)+L602</f>
        <v>0</v>
      </c>
      <c r="H653" s="200">
        <f>SUM(H565:H577)+SUM(J592:J594)+L603</f>
        <v>2947163.17</v>
      </c>
      <c r="I653" s="19">
        <f>SUM(F653:H653)</f>
        <v>3467043.78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4950918.34</v>
      </c>
      <c r="G654" s="19">
        <f>G650-SUM(G651:G653)</f>
        <v>0</v>
      </c>
      <c r="H654" s="19">
        <f>H650-SUM(H651:H653)</f>
        <v>15120</v>
      </c>
      <c r="I654" s="19">
        <f>I650-SUM(I651:I653)</f>
        <v>4966038.34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484.26</v>
      </c>
      <c r="G655" s="249"/>
      <c r="H655" s="249"/>
      <c r="I655" s="19">
        <f>SUM(F655:H655)</f>
        <v>484.26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10223.68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10254.9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>
        <v>-15120</v>
      </c>
      <c r="I659" s="19">
        <f>SUM(F659:H659)</f>
        <v>-15120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10223.68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10223.68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1CF71-9033-46BD-8E71-4BF4CE173E09}">
  <sheetPr>
    <tabColor indexed="20"/>
  </sheetPr>
  <dimension ref="A1:C52"/>
  <sheetViews>
    <sheetView topLeftCell="A34" workbookViewId="0">
      <selection activeCell="B65" sqref="B65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NOTTINGHAM SD</v>
      </c>
      <c r="C1" s="239" t="s">
        <v>873</v>
      </c>
    </row>
    <row r="2" spans="1:3" x14ac:dyDescent="0.2">
      <c r="A2" s="234"/>
      <c r="B2" s="233"/>
    </row>
    <row r="3" spans="1:3" x14ac:dyDescent="0.2">
      <c r="A3" s="271" t="s">
        <v>818</v>
      </c>
      <c r="B3" s="271"/>
      <c r="C3" s="271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2" t="s">
        <v>817</v>
      </c>
      <c r="C6" s="272"/>
    </row>
    <row r="7" spans="1:3" x14ac:dyDescent="0.2">
      <c r="A7" s="240" t="s">
        <v>820</v>
      </c>
      <c r="B7" s="273" t="s">
        <v>816</v>
      </c>
      <c r="C7" s="274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1768452.96</v>
      </c>
      <c r="C9" s="230">
        <f>'DOE25'!G189+'DOE25'!G207+'DOE25'!G225+'DOE25'!G268+'DOE25'!G287+'DOE25'!G306</f>
        <v>533767.27</v>
      </c>
    </row>
    <row r="10" spans="1:3" x14ac:dyDescent="0.2">
      <c r="A10" t="s">
        <v>813</v>
      </c>
      <c r="B10" s="241">
        <f>1632213.31+55306.88</f>
        <v>1687520.19</v>
      </c>
      <c r="C10" s="241">
        <f>227120.38+14397.94+19812.5+2760.41+180.17+1200+131900.35+4230.98+79.2+5063.12+120895.22+2980+3147-6191.36</f>
        <v>527575.91</v>
      </c>
    </row>
    <row r="11" spans="1:3" x14ac:dyDescent="0.2">
      <c r="A11" t="s">
        <v>814</v>
      </c>
      <c r="B11" s="241"/>
      <c r="C11" s="241"/>
    </row>
    <row r="12" spans="1:3" x14ac:dyDescent="0.2">
      <c r="A12" t="s">
        <v>815</v>
      </c>
      <c r="B12" s="241">
        <f>30702.6+50230.17</f>
        <v>80932.76999999999</v>
      </c>
      <c r="C12" s="241">
        <v>6191.36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1768452.96</v>
      </c>
      <c r="C13" s="232">
        <f>SUM(C10:C12)</f>
        <v>533767.27</v>
      </c>
    </row>
    <row r="14" spans="1:3" x14ac:dyDescent="0.2">
      <c r="B14" s="231"/>
      <c r="C14" s="231"/>
    </row>
    <row r="15" spans="1:3" x14ac:dyDescent="0.2">
      <c r="B15" s="272" t="s">
        <v>817</v>
      </c>
      <c r="C15" s="272"/>
    </row>
    <row r="16" spans="1:3" x14ac:dyDescent="0.2">
      <c r="A16" s="240" t="s">
        <v>821</v>
      </c>
      <c r="B16" s="273" t="s">
        <v>738</v>
      </c>
      <c r="C16" s="274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580907.09</v>
      </c>
      <c r="C18" s="230">
        <f>'DOE25'!G190+'DOE25'!G208+'DOE25'!G226+'DOE25'!G269+'DOE25'!G288+'DOE25'!G307</f>
        <v>199206.69000000003</v>
      </c>
    </row>
    <row r="19" spans="1:3" x14ac:dyDescent="0.2">
      <c r="A19" t="s">
        <v>813</v>
      </c>
      <c r="B19" s="241">
        <f>210997.58</f>
        <v>210997.58</v>
      </c>
      <c r="C19" s="241">
        <f>15378.41+16141.31+62633.47+1750-2000-1543.52</f>
        <v>92359.67</v>
      </c>
    </row>
    <row r="20" spans="1:3" x14ac:dyDescent="0.2">
      <c r="A20" t="s">
        <v>814</v>
      </c>
      <c r="B20" s="241">
        <f>327009.3</f>
        <v>327009.3</v>
      </c>
      <c r="C20" s="241">
        <f>25016.21+71798.94+6000</f>
        <v>102815.15</v>
      </c>
    </row>
    <row r="21" spans="1:3" x14ac:dyDescent="0.2">
      <c r="A21" t="s">
        <v>815</v>
      </c>
      <c r="B21" s="241">
        <f>15717+27183.21</f>
        <v>42900.21</v>
      </c>
      <c r="C21" s="241">
        <f>750+3281.87</f>
        <v>4031.87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580907.09</v>
      </c>
      <c r="C22" s="232">
        <f>SUM(C19:C21)</f>
        <v>199206.69</v>
      </c>
    </row>
    <row r="23" spans="1:3" x14ac:dyDescent="0.2">
      <c r="B23" s="231"/>
      <c r="C23" s="231"/>
    </row>
    <row r="24" spans="1:3" x14ac:dyDescent="0.2">
      <c r="B24" s="272" t="s">
        <v>817</v>
      </c>
      <c r="C24" s="272"/>
    </row>
    <row r="25" spans="1:3" x14ac:dyDescent="0.2">
      <c r="A25" s="240" t="s">
        <v>822</v>
      </c>
      <c r="B25" s="273" t="s">
        <v>739</v>
      </c>
      <c r="C25" s="274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2" t="s">
        <v>817</v>
      </c>
      <c r="C33" s="272"/>
    </row>
    <row r="34" spans="1:3" x14ac:dyDescent="0.2">
      <c r="A34" s="240" t="s">
        <v>823</v>
      </c>
      <c r="B34" s="273" t="s">
        <v>740</v>
      </c>
      <c r="C34" s="274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23929</v>
      </c>
      <c r="C36" s="236">
        <f>'DOE25'!G192+'DOE25'!G210+'DOE25'!G228+'DOE25'!G271+'DOE25'!G290+'DOE25'!G309</f>
        <v>2897.3</v>
      </c>
    </row>
    <row r="37" spans="1:3" x14ac:dyDescent="0.2">
      <c r="A37" t="s">
        <v>813</v>
      </c>
      <c r="B37" s="241"/>
      <c r="C37" s="241"/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>
        <f>11679+9250+3000</f>
        <v>23929</v>
      </c>
      <c r="C39" s="241">
        <f>937.19+797.73+893.51+77.86+191.01</f>
        <v>2897.3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23929</v>
      </c>
      <c r="C40" s="232">
        <f>SUM(C37:C39)</f>
        <v>2897.3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C9BDF-FA81-46E0-9E83-A66AF7E6B8E5}">
  <sheetPr>
    <tabColor indexed="11"/>
  </sheetPr>
  <dimension ref="A1:I51"/>
  <sheetViews>
    <sheetView workbookViewId="0">
      <pane ySplit="4" topLeftCell="A5" activePane="bottomLeft" state="frozen"/>
      <selection pane="bottomLeft" activeCell="D9" sqref="D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2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NOTTINGHAM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6650817.6799999997</v>
      </c>
      <c r="D5" s="20">
        <f>SUM('DOE25'!L189:L192)+SUM('DOE25'!L207:L210)+SUM('DOE25'!L225:L228)-F5-G5</f>
        <v>6644518.2199999997</v>
      </c>
      <c r="E5" s="244"/>
      <c r="F5" s="256">
        <f>SUM('DOE25'!J189:J192)+SUM('DOE25'!J207:J210)+SUM('DOE25'!J225:J228)</f>
        <v>5917.4600000000009</v>
      </c>
      <c r="G5" s="53">
        <f>SUM('DOE25'!K189:K192)+SUM('DOE25'!K207:K210)+SUM('DOE25'!K225:K228)</f>
        <v>382</v>
      </c>
      <c r="H5" s="260"/>
    </row>
    <row r="6" spans="1:9" x14ac:dyDescent="0.2">
      <c r="A6" s="32">
        <v>2100</v>
      </c>
      <c r="B6" t="s">
        <v>835</v>
      </c>
      <c r="C6" s="246">
        <f t="shared" si="0"/>
        <v>420264.95</v>
      </c>
      <c r="D6" s="20">
        <f>'DOE25'!L194+'DOE25'!L212+'DOE25'!L230-F6-G6</f>
        <v>420264.95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178960.02000000002</v>
      </c>
      <c r="D7" s="20">
        <f>'DOE25'!L195+'DOE25'!L213+'DOE25'!L231-F7-G7</f>
        <v>153893.69</v>
      </c>
      <c r="E7" s="244"/>
      <c r="F7" s="256">
        <f>'DOE25'!J195+'DOE25'!J213+'DOE25'!J231</f>
        <v>25066.33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213220.74</v>
      </c>
      <c r="D8" s="244"/>
      <c r="E8" s="20">
        <f>'DOE25'!L196+'DOE25'!L214+'DOE25'!L232-F8-G8-D9-D11</f>
        <v>209653.91999999998</v>
      </c>
      <c r="F8" s="256">
        <f>'DOE25'!J196+'DOE25'!J214+'DOE25'!J232</f>
        <v>0</v>
      </c>
      <c r="G8" s="53">
        <f>'DOE25'!K196+'DOE25'!K214+'DOE25'!K232</f>
        <v>3566.82</v>
      </c>
      <c r="H8" s="260"/>
    </row>
    <row r="9" spans="1:9" x14ac:dyDescent="0.2">
      <c r="A9" s="32">
        <v>2310</v>
      </c>
      <c r="B9" t="s">
        <v>852</v>
      </c>
      <c r="C9" s="246">
        <f t="shared" si="0"/>
        <v>56424.66</v>
      </c>
      <c r="D9" s="245">
        <v>56424.66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7000</v>
      </c>
      <c r="D10" s="244"/>
      <c r="E10" s="245">
        <v>7000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88611.46</v>
      </c>
      <c r="D11" s="245">
        <v>88611.46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318593.95</v>
      </c>
      <c r="D12" s="20">
        <f>'DOE25'!L197+'DOE25'!L215+'DOE25'!L233-F12-G12</f>
        <v>317923.95</v>
      </c>
      <c r="E12" s="244"/>
      <c r="F12" s="256">
        <f>'DOE25'!J197+'DOE25'!J215+'DOE25'!J233</f>
        <v>0</v>
      </c>
      <c r="G12" s="53">
        <f>'DOE25'!K197+'DOE25'!K215+'DOE25'!K233</f>
        <v>670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57218.840000000004</v>
      </c>
      <c r="D13" s="244"/>
      <c r="E13" s="20">
        <f>'DOE25'!L198+'DOE25'!L216+'DOE25'!L234-F13-G13</f>
        <v>57218.840000000004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399257.08</v>
      </c>
      <c r="D14" s="20">
        <f>'DOE25'!L199+'DOE25'!L217+'DOE25'!L235-F14-G14</f>
        <v>388661.78</v>
      </c>
      <c r="E14" s="244"/>
      <c r="F14" s="256">
        <f>'DOE25'!J199+'DOE25'!J217+'DOE25'!J235</f>
        <v>10595.3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594609.82999999996</v>
      </c>
      <c r="D15" s="20">
        <f>'DOE25'!L200+'DOE25'!L218+'DOE25'!L236-F15-G15</f>
        <v>594609.82999999996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95640.73</v>
      </c>
      <c r="D29" s="20">
        <f>'DOE25'!L350+'DOE25'!L351+'DOE25'!L352-'DOE25'!I359-F29-G29</f>
        <v>95167.989999999991</v>
      </c>
      <c r="E29" s="244"/>
      <c r="F29" s="256">
        <f>'DOE25'!J350+'DOE25'!J351+'DOE25'!J352</f>
        <v>472.74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0</v>
      </c>
      <c r="D31" s="20">
        <f>'DOE25'!L282+'DOE25'!L301+'DOE25'!L320+'DOE25'!L325+'DOE25'!L326+'DOE25'!L327-F31-G31</f>
        <v>0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8760076.5300000012</v>
      </c>
      <c r="E33" s="247">
        <f>SUM(E5:E31)</f>
        <v>273872.76</v>
      </c>
      <c r="F33" s="247">
        <f>SUM(F5:F31)</f>
        <v>42051.829999999994</v>
      </c>
      <c r="G33" s="247">
        <f>SUM(G5:G31)</f>
        <v>4618.82</v>
      </c>
      <c r="H33" s="247">
        <f>SUM(H5:H31)</f>
        <v>0</v>
      </c>
    </row>
    <row r="35" spans="2:8" ht="12" thickBot="1" x14ac:dyDescent="0.25">
      <c r="B35" s="254" t="s">
        <v>881</v>
      </c>
      <c r="D35" s="255">
        <f>E33</f>
        <v>273872.76</v>
      </c>
      <c r="E35" s="250"/>
    </row>
    <row r="36" spans="2:8" ht="12" thickTop="1" x14ac:dyDescent="0.2">
      <c r="B36" t="s">
        <v>849</v>
      </c>
      <c r="D36" s="20">
        <f>D33</f>
        <v>8760076.5300000012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4C83A-82E6-4CB2-94AD-6249500A6A08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G61" sqref="G61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NOTTINGHAM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334895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0</v>
      </c>
      <c r="D12" s="95">
        <f>'DOE25'!G12</f>
        <v>8814.34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25416</v>
      </c>
      <c r="D13" s="95">
        <f>'DOE25'!G13</f>
        <v>10480</v>
      </c>
      <c r="E13" s="95">
        <f>'DOE25'!H13</f>
        <v>0</v>
      </c>
      <c r="F13" s="95">
        <f>'DOE25'!I13</f>
        <v>0</v>
      </c>
      <c r="G13" s="95">
        <f>'DOE25'!J13</f>
        <v>95086.82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35907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918.26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396218</v>
      </c>
      <c r="D19" s="41">
        <f>SUM(D9:D18)</f>
        <v>20212.599999999999</v>
      </c>
      <c r="E19" s="41">
        <f>SUM(E9:E18)</f>
        <v>0</v>
      </c>
      <c r="F19" s="41">
        <f>SUM(F9:F18)</f>
        <v>0</v>
      </c>
      <c r="G19" s="41">
        <f>SUM(G9:G18)</f>
        <v>95086.82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8814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85442</v>
      </c>
      <c r="D24" s="95">
        <f>'DOE25'!G25</f>
        <v>32.340000000000003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17061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106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111317</v>
      </c>
      <c r="D32" s="41">
        <f>SUM(D22:D31)</f>
        <v>138.34</v>
      </c>
      <c r="E32" s="41">
        <f>SUM(E22:E31)</f>
        <v>0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20074</v>
      </c>
      <c r="E40" s="95">
        <f>'DOE25'!H41</f>
        <v>0</v>
      </c>
      <c r="F40" s="95">
        <f>'DOE25'!I41</f>
        <v>0</v>
      </c>
      <c r="G40" s="95">
        <f>'DOE25'!J41</f>
        <v>95086.82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284901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284901</v>
      </c>
      <c r="D42" s="41">
        <f>SUM(D34:D41)</f>
        <v>20074</v>
      </c>
      <c r="E42" s="41">
        <f>SUM(E34:E41)</f>
        <v>0</v>
      </c>
      <c r="F42" s="41">
        <f>SUM(F34:F41)</f>
        <v>0</v>
      </c>
      <c r="G42" s="41">
        <f>SUM(G34:G41)</f>
        <v>95086.82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396218</v>
      </c>
      <c r="D43" s="41">
        <f>D42+D32</f>
        <v>20212.34</v>
      </c>
      <c r="E43" s="41">
        <f>E42+E32</f>
        <v>0</v>
      </c>
      <c r="F43" s="41">
        <f>F42+F32</f>
        <v>0</v>
      </c>
      <c r="G43" s="41">
        <f>G42+G32</f>
        <v>95086.82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6194712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79268.09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656.98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764.3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112042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1823.21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81748.28</v>
      </c>
      <c r="D54" s="130">
        <f>SUM(D49:D53)</f>
        <v>112042</v>
      </c>
      <c r="E54" s="130">
        <f>SUM(E49:E53)</f>
        <v>0</v>
      </c>
      <c r="F54" s="130">
        <f>SUM(F49:F53)</f>
        <v>0</v>
      </c>
      <c r="G54" s="130">
        <f>SUM(G49:G53)</f>
        <v>764.3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6276460.2800000003</v>
      </c>
      <c r="D55" s="22">
        <f>D48+D54</f>
        <v>112042</v>
      </c>
      <c r="E55" s="22">
        <f>E48+E54</f>
        <v>0</v>
      </c>
      <c r="F55" s="22">
        <f>F48+F54</f>
        <v>0</v>
      </c>
      <c r="G55" s="22">
        <f>G48+G54</f>
        <v>764.3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843933.82000000007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1341073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323791.18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2508798.0000000005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1800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56312.51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2313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58112.51</v>
      </c>
      <c r="D70" s="130">
        <f>SUM(D64:D69)</f>
        <v>2313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2566910.5100000002</v>
      </c>
      <c r="D73" s="130">
        <f>SUM(D71:D72)+D70+D62</f>
        <v>2313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73711.070000000007</v>
      </c>
      <c r="D80" s="95">
        <f>SUM('DOE25'!G145:G153)</f>
        <v>56019</v>
      </c>
      <c r="E80" s="95">
        <f>SUM('DOE25'!H145:H153)</f>
        <v>0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73711.070000000007</v>
      </c>
      <c r="D83" s="131">
        <f>SUM(D77:D82)</f>
        <v>56019</v>
      </c>
      <c r="E83" s="131">
        <f>SUM(E77:E82)</f>
        <v>0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25000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7650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7650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25000</v>
      </c>
    </row>
    <row r="96" spans="1:7" ht="12.75" thickTop="1" thickBot="1" x14ac:dyDescent="0.25">
      <c r="A96" s="33" t="s">
        <v>797</v>
      </c>
      <c r="C96" s="86">
        <f>C55+C73+C83+C95</f>
        <v>8924731.8600000013</v>
      </c>
      <c r="D96" s="86">
        <f>D55+D73+D83+D95</f>
        <v>170374</v>
      </c>
      <c r="E96" s="86">
        <f>E55+E73+E83+E95</f>
        <v>0</v>
      </c>
      <c r="F96" s="86">
        <f>F55+F73+F83+F95</f>
        <v>0</v>
      </c>
      <c r="G96" s="86">
        <f>G55+G73+G95</f>
        <v>25764.3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4800867.76</v>
      </c>
      <c r="D101" s="24" t="s">
        <v>312</v>
      </c>
      <c r="E101" s="95">
        <f>('DOE25'!L268)+('DOE25'!L287)+('DOE25'!L306)</f>
        <v>0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1817442.3900000001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32507.53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6650817.6800000006</v>
      </c>
      <c r="D107" s="86">
        <f>SUM(D101:D106)</f>
        <v>0</v>
      </c>
      <c r="E107" s="86">
        <f>SUM(E101:E106)</f>
        <v>0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420264.95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178960.02000000002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358256.86000000004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318593.95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57218.840000000004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399257.08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594609.82999999996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161754.74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2327161.5300000003</v>
      </c>
      <c r="D120" s="86">
        <f>SUM(D110:D119)</f>
        <v>161754.74</v>
      </c>
      <c r="E120" s="86">
        <f>SUM(E110:E119)</f>
        <v>0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7650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10361.67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15402.63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-764.29999999999927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25000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7650</v>
      </c>
    </row>
    <row r="137" spans="1:9" ht="12.75" thickTop="1" thickBot="1" x14ac:dyDescent="0.25">
      <c r="A137" s="33" t="s">
        <v>267</v>
      </c>
      <c r="C137" s="86">
        <f>(C107+C120+C136)</f>
        <v>9002979.2100000009</v>
      </c>
      <c r="D137" s="86">
        <f>(D107+D120+D136)</f>
        <v>161754.74</v>
      </c>
      <c r="E137" s="86">
        <f>(E107+E120+E136)</f>
        <v>0</v>
      </c>
      <c r="F137" s="86">
        <f>(F107+F120+F136)</f>
        <v>0</v>
      </c>
      <c r="G137" s="86">
        <f>(G107+G120+G136)</f>
        <v>7650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BBA94-4240-4183-915B-9EBE0EB1BFDA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NOTTINGHAM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10224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10224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4800868</v>
      </c>
      <c r="D10" s="182">
        <f>ROUND((C10/$C$28)*100,1)</f>
        <v>53.2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1817442</v>
      </c>
      <c r="D11" s="182">
        <f>ROUND((C11/$C$28)*100,1)</f>
        <v>20.100000000000001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32508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420265</v>
      </c>
      <c r="D15" s="182">
        <f t="shared" ref="D15:D27" si="0">ROUND((C15/$C$28)*100,1)</f>
        <v>4.7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178960</v>
      </c>
      <c r="D16" s="182">
        <f t="shared" si="0"/>
        <v>2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358257</v>
      </c>
      <c r="D17" s="182">
        <f t="shared" si="0"/>
        <v>4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318594</v>
      </c>
      <c r="D18" s="182">
        <f t="shared" si="0"/>
        <v>3.5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57219</v>
      </c>
      <c r="D19" s="182">
        <f t="shared" si="0"/>
        <v>0.6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399257</v>
      </c>
      <c r="D20" s="182">
        <f t="shared" si="0"/>
        <v>4.4000000000000004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594610</v>
      </c>
      <c r="D21" s="182">
        <f t="shared" si="0"/>
        <v>6.6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49713</v>
      </c>
      <c r="D27" s="182">
        <f t="shared" si="0"/>
        <v>0.6</v>
      </c>
    </row>
    <row r="28" spans="1:4" x14ac:dyDescent="0.2">
      <c r="B28" s="187" t="s">
        <v>754</v>
      </c>
      <c r="C28" s="180">
        <f>SUM(C10:C27)</f>
        <v>9027693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9027693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6194712</v>
      </c>
      <c r="D35" s="182">
        <f t="shared" ref="D35:D40" si="1">ROUND((C35/$C$41)*100,1)</f>
        <v>69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82512.580000000075</v>
      </c>
      <c r="D36" s="182">
        <f t="shared" si="1"/>
        <v>0.9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2185007</v>
      </c>
      <c r="D37" s="182">
        <f t="shared" si="1"/>
        <v>24.3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384217</v>
      </c>
      <c r="D38" s="182">
        <f t="shared" si="1"/>
        <v>4.3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129730</v>
      </c>
      <c r="D39" s="182">
        <f t="shared" si="1"/>
        <v>1.4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8976178.5800000001</v>
      </c>
      <c r="D41" s="184">
        <f>SUM(D35:D40)</f>
        <v>99.9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290DD-3F8A-4AFA-AB16-C720A5085FF6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NOTTINGHAM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893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7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EP40:EZ40"/>
    <mergeCell ref="C52:M52"/>
    <mergeCell ref="C50:M50"/>
    <mergeCell ref="C47:M47"/>
    <mergeCell ref="C48:M48"/>
    <mergeCell ref="C49:M49"/>
    <mergeCell ref="DP40:DZ40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GC39:GM39"/>
    <mergeCell ref="GP39:GZ39"/>
    <mergeCell ref="BP39:BZ39"/>
    <mergeCell ref="BC40:BM40"/>
    <mergeCell ref="BP40:BZ40"/>
    <mergeCell ref="FC40:FM40"/>
    <mergeCell ref="FP40:FZ40"/>
    <mergeCell ref="CC40:CM40"/>
    <mergeCell ref="CP40:CZ40"/>
    <mergeCell ref="DC40:DM40"/>
    <mergeCell ref="C51:M51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HC38:HM38"/>
    <mergeCell ref="HP38:HZ38"/>
    <mergeCell ref="IC38:IM38"/>
    <mergeCell ref="IP38:IV38"/>
    <mergeCell ref="CC39:CM39"/>
    <mergeCell ref="CP39:CZ39"/>
    <mergeCell ref="IP39:IV39"/>
    <mergeCell ref="EP39:EZ39"/>
    <mergeCell ref="FC39:FM39"/>
    <mergeCell ref="FP39:FZ39"/>
    <mergeCell ref="EC38:EM38"/>
    <mergeCell ref="EP38:EZ38"/>
    <mergeCell ref="FC38:FM38"/>
    <mergeCell ref="FP38:FZ38"/>
    <mergeCell ref="GC38:GM38"/>
    <mergeCell ref="GP38:GZ38"/>
    <mergeCell ref="BP38:BZ38"/>
    <mergeCell ref="CC38:CM38"/>
    <mergeCell ref="CC32:CM32"/>
    <mergeCell ref="CP38:CZ38"/>
    <mergeCell ref="DC38:DM38"/>
    <mergeCell ref="DP38:DZ38"/>
    <mergeCell ref="GP32:GZ32"/>
    <mergeCell ref="HC32:HM32"/>
    <mergeCell ref="DC32:DM32"/>
    <mergeCell ref="DP32:DZ32"/>
    <mergeCell ref="EC32:EM32"/>
    <mergeCell ref="EP32:EZ32"/>
    <mergeCell ref="FP32:FZ32"/>
    <mergeCell ref="GC32:GM32"/>
    <mergeCell ref="C44:M44"/>
    <mergeCell ref="P32:Z32"/>
    <mergeCell ref="AC32:AM32"/>
    <mergeCell ref="AP32:AZ32"/>
    <mergeCell ref="P38:Z38"/>
    <mergeCell ref="AC38:AM38"/>
    <mergeCell ref="AP38:AZ38"/>
    <mergeCell ref="C43:M43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HC30:HM30"/>
    <mergeCell ref="HP30:HZ30"/>
    <mergeCell ref="CC30:CM30"/>
    <mergeCell ref="CP30:CZ30"/>
    <mergeCell ref="DC30:DM30"/>
    <mergeCell ref="DP30:DZ30"/>
    <mergeCell ref="EC30:EM30"/>
    <mergeCell ref="EP30:EZ30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2010-10-26T17:11:42Z</cp:lastPrinted>
  <dcterms:created xsi:type="dcterms:W3CDTF">1997-12-04T19:04:30Z</dcterms:created>
  <dcterms:modified xsi:type="dcterms:W3CDTF">2025-01-09T20:07:24Z</dcterms:modified>
</cp:coreProperties>
</file>