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0BA769B-F2C5-4FA7-9C95-8B2EDCE9B50A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activeTab="2" xr2:uid="{2B70EA80-57FC-45F1-865C-4F68BAC0778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Rate'!$A$4:$H$40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5" i="1" l="1"/>
  <c r="L225" i="1" s="1"/>
  <c r="L239" i="1" s="1"/>
  <c r="J237" i="1"/>
  <c r="I230" i="1"/>
  <c r="H230" i="1"/>
  <c r="H237" i="1"/>
  <c r="G230" i="1"/>
  <c r="G237" i="1"/>
  <c r="L237" i="1" s="1"/>
  <c r="F225" i="1"/>
  <c r="J219" i="1"/>
  <c r="I212" i="1"/>
  <c r="I221" i="1" s="1"/>
  <c r="H212" i="1"/>
  <c r="H221" i="1" s="1"/>
  <c r="H249" i="1" s="1"/>
  <c r="H263" i="1" s="1"/>
  <c r="H219" i="1"/>
  <c r="G212" i="1"/>
  <c r="G219" i="1"/>
  <c r="L219" i="1" s="1"/>
  <c r="F207" i="1"/>
  <c r="J194" i="1"/>
  <c r="F6" i="13" s="1"/>
  <c r="J201" i="1"/>
  <c r="I194" i="1"/>
  <c r="H194" i="1"/>
  <c r="H201" i="1"/>
  <c r="G189" i="1"/>
  <c r="F189" i="1"/>
  <c r="F203" i="1" s="1"/>
  <c r="F249" i="1" s="1"/>
  <c r="F263" i="1" s="1"/>
  <c r="J488" i="1"/>
  <c r="F151" i="2" s="1"/>
  <c r="I488" i="1"/>
  <c r="E151" i="2" s="1"/>
  <c r="H488" i="1"/>
  <c r="G488" i="1"/>
  <c r="I459" i="1"/>
  <c r="I460" i="1"/>
  <c r="I466" i="1" s="1"/>
  <c r="H615" i="1" s="1"/>
  <c r="I464" i="1"/>
  <c r="H29" i="1"/>
  <c r="H25" i="1"/>
  <c r="E24" i="2" s="1"/>
  <c r="H24" i="1"/>
  <c r="I9" i="1"/>
  <c r="F10" i="2"/>
  <c r="F12" i="2"/>
  <c r="F13" i="2"/>
  <c r="F14" i="2"/>
  <c r="F15" i="2"/>
  <c r="F16" i="2"/>
  <c r="F17" i="2"/>
  <c r="F18" i="2"/>
  <c r="C60" i="2"/>
  <c r="C62" i="2" s="1"/>
  <c r="B2" i="13"/>
  <c r="F8" i="13"/>
  <c r="G8" i="13"/>
  <c r="L196" i="1"/>
  <c r="E8" i="13" s="1"/>
  <c r="L214" i="1"/>
  <c r="L232" i="1"/>
  <c r="D39" i="13"/>
  <c r="F13" i="13"/>
  <c r="G13" i="13"/>
  <c r="L198" i="1"/>
  <c r="C19" i="10" s="1"/>
  <c r="L216" i="1"/>
  <c r="L234" i="1"/>
  <c r="F16" i="13"/>
  <c r="G16" i="13"/>
  <c r="L201" i="1"/>
  <c r="G5" i="13"/>
  <c r="L190" i="1"/>
  <c r="C102" i="2" s="1"/>
  <c r="L191" i="1"/>
  <c r="C12" i="10" s="1"/>
  <c r="L192" i="1"/>
  <c r="C13" i="10" s="1"/>
  <c r="L207" i="1"/>
  <c r="L221" i="1" s="1"/>
  <c r="G650" i="1" s="1"/>
  <c r="L208" i="1"/>
  <c r="L209" i="1"/>
  <c r="L210" i="1"/>
  <c r="L226" i="1"/>
  <c r="L227" i="1"/>
  <c r="L228" i="1"/>
  <c r="G6" i="13"/>
  <c r="G33" i="13" s="1"/>
  <c r="L194" i="1"/>
  <c r="D6" i="13" s="1"/>
  <c r="C6" i="13" s="1"/>
  <c r="L212" i="1"/>
  <c r="L230" i="1"/>
  <c r="F7" i="13"/>
  <c r="G7" i="13"/>
  <c r="L195" i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L217" i="1"/>
  <c r="L235" i="1"/>
  <c r="L278" i="1"/>
  <c r="L297" i="1"/>
  <c r="L316" i="1"/>
  <c r="C20" i="10"/>
  <c r="F15" i="13"/>
  <c r="G15" i="13"/>
  <c r="L200" i="1"/>
  <c r="L218" i="1"/>
  <c r="D15" i="13" s="1"/>
  <c r="C15" i="13" s="1"/>
  <c r="L236" i="1"/>
  <c r="H652" i="1" s="1"/>
  <c r="F17" i="13"/>
  <c r="G17" i="13"/>
  <c r="L243" i="1"/>
  <c r="F18" i="13"/>
  <c r="G18" i="13"/>
  <c r="D18" i="13"/>
  <c r="C18" i="13"/>
  <c r="L244" i="1"/>
  <c r="C24" i="10" s="1"/>
  <c r="F19" i="13"/>
  <c r="G19" i="13"/>
  <c r="L245" i="1"/>
  <c r="D19" i="13" s="1"/>
  <c r="C19" i="13" s="1"/>
  <c r="F29" i="13"/>
  <c r="G29" i="13"/>
  <c r="L350" i="1"/>
  <c r="L351" i="1"/>
  <c r="G651" i="1" s="1"/>
  <c r="L352" i="1"/>
  <c r="H651" i="1" s="1"/>
  <c r="I359" i="1"/>
  <c r="I361" i="1" s="1"/>
  <c r="H624" i="1" s="1"/>
  <c r="J282" i="1"/>
  <c r="J330" i="1" s="1"/>
  <c r="J344" i="1" s="1"/>
  <c r="J301" i="1"/>
  <c r="J320" i="1"/>
  <c r="K282" i="1"/>
  <c r="K301" i="1"/>
  <c r="K320" i="1"/>
  <c r="L268" i="1"/>
  <c r="L269" i="1"/>
  <c r="E102" i="2" s="1"/>
  <c r="L270" i="1"/>
  <c r="E103" i="2" s="1"/>
  <c r="L271" i="1"/>
  <c r="E104" i="2" s="1"/>
  <c r="L273" i="1"/>
  <c r="E110" i="2" s="1"/>
  <c r="L274" i="1"/>
  <c r="L275" i="1"/>
  <c r="L276" i="1"/>
  <c r="L277" i="1"/>
  <c r="L279" i="1"/>
  <c r="L280" i="1"/>
  <c r="L293" i="1"/>
  <c r="L312" i="1"/>
  <c r="C16" i="10" s="1"/>
  <c r="E111" i="2"/>
  <c r="E115" i="2"/>
  <c r="L287" i="1"/>
  <c r="L288" i="1"/>
  <c r="L289" i="1"/>
  <c r="L290" i="1"/>
  <c r="L292" i="1"/>
  <c r="L294" i="1"/>
  <c r="L295" i="1"/>
  <c r="L296" i="1"/>
  <c r="L298" i="1"/>
  <c r="L299" i="1"/>
  <c r="E117" i="2" s="1"/>
  <c r="L301" i="1"/>
  <c r="L306" i="1"/>
  <c r="E101" i="2" s="1"/>
  <c r="L307" i="1"/>
  <c r="L308" i="1"/>
  <c r="L309" i="1"/>
  <c r="L311" i="1"/>
  <c r="L313" i="1"/>
  <c r="L314" i="1"/>
  <c r="L315" i="1"/>
  <c r="L317" i="1"/>
  <c r="L318" i="1"/>
  <c r="L325" i="1"/>
  <c r="L326" i="1"/>
  <c r="L327" i="1"/>
  <c r="L252" i="1"/>
  <c r="C32" i="10" s="1"/>
  <c r="L253" i="1"/>
  <c r="C25" i="10" s="1"/>
  <c r="L333" i="1"/>
  <c r="L334" i="1"/>
  <c r="L247" i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C31" i="12"/>
  <c r="B9" i="12"/>
  <c r="A13" i="12" s="1"/>
  <c r="B13" i="12"/>
  <c r="C13" i="12"/>
  <c r="C9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93" i="1" s="1"/>
  <c r="C131" i="2" s="1"/>
  <c r="L389" i="1"/>
  <c r="L392" i="1"/>
  <c r="L390" i="1"/>
  <c r="L391" i="1"/>
  <c r="L395" i="1"/>
  <c r="L396" i="1"/>
  <c r="L399" i="1" s="1"/>
  <c r="C132" i="2" s="1"/>
  <c r="L397" i="1"/>
  <c r="L398" i="1"/>
  <c r="L258" i="1"/>
  <c r="J52" i="1"/>
  <c r="G48" i="2" s="1"/>
  <c r="G55" i="2" s="1"/>
  <c r="G96" i="2" s="1"/>
  <c r="G51" i="2"/>
  <c r="G53" i="2"/>
  <c r="G54" i="2"/>
  <c r="G69" i="2"/>
  <c r="G70" i="2"/>
  <c r="G61" i="2"/>
  <c r="G62" i="2" s="1"/>
  <c r="G73" i="2" s="1"/>
  <c r="G88" i="2"/>
  <c r="G95" i="2" s="1"/>
  <c r="G89" i="2"/>
  <c r="G90" i="2"/>
  <c r="F2" i="11"/>
  <c r="L603" i="1"/>
  <c r="H653" i="1"/>
  <c r="L602" i="1"/>
  <c r="G653" i="1" s="1"/>
  <c r="L601" i="1"/>
  <c r="F653" i="1"/>
  <c r="C40" i="10"/>
  <c r="F52" i="1"/>
  <c r="G52" i="1"/>
  <c r="C35" i="10"/>
  <c r="H52" i="1"/>
  <c r="I52" i="1"/>
  <c r="G103" i="1"/>
  <c r="F48" i="2"/>
  <c r="F55" i="2" s="1"/>
  <c r="F96" i="2" s="1"/>
  <c r="F71" i="1"/>
  <c r="F104" i="1" s="1"/>
  <c r="F86" i="1"/>
  <c r="F103" i="1"/>
  <c r="H71" i="1"/>
  <c r="H86" i="1"/>
  <c r="E50" i="2" s="1"/>
  <c r="H103" i="1"/>
  <c r="I103" i="1"/>
  <c r="J103" i="1"/>
  <c r="C37" i="10"/>
  <c r="F113" i="1"/>
  <c r="F132" i="1" s="1"/>
  <c r="F128" i="1"/>
  <c r="G113" i="1"/>
  <c r="G132" i="1" s="1"/>
  <c r="G128" i="1"/>
  <c r="H113" i="1"/>
  <c r="H128" i="1"/>
  <c r="I113" i="1"/>
  <c r="I132" i="1" s="1"/>
  <c r="I128" i="1"/>
  <c r="J113" i="1"/>
  <c r="J128" i="1"/>
  <c r="J132" i="1"/>
  <c r="J185" i="1" s="1"/>
  <c r="F139" i="1"/>
  <c r="F154" i="1"/>
  <c r="F161" i="1" s="1"/>
  <c r="G139" i="1"/>
  <c r="G154" i="1"/>
  <c r="H139" i="1"/>
  <c r="E77" i="2" s="1"/>
  <c r="E83" i="2" s="1"/>
  <c r="H154" i="1"/>
  <c r="I139" i="1"/>
  <c r="I154" i="1"/>
  <c r="I161" i="1"/>
  <c r="C21" i="10"/>
  <c r="L242" i="1"/>
  <c r="C23" i="10" s="1"/>
  <c r="L324" i="1"/>
  <c r="L246" i="1"/>
  <c r="L260" i="1"/>
  <c r="C134" i="2"/>
  <c r="L261" i="1"/>
  <c r="C135" i="2" s="1"/>
  <c r="L341" i="1"/>
  <c r="E134" i="2" s="1"/>
  <c r="L342" i="1"/>
  <c r="E135" i="2" s="1"/>
  <c r="I655" i="1"/>
  <c r="I660" i="1"/>
  <c r="F651" i="1"/>
  <c r="I651" i="1" s="1"/>
  <c r="F652" i="1"/>
  <c r="G652" i="1"/>
  <c r="I659" i="1"/>
  <c r="C42" i="10"/>
  <c r="L366" i="1"/>
  <c r="F122" i="2" s="1"/>
  <c r="F136" i="2" s="1"/>
  <c r="F137" i="2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/>
  <c r="K539" i="1" s="1"/>
  <c r="L512" i="1"/>
  <c r="L514" i="1" s="1"/>
  <c r="F540" i="1"/>
  <c r="L513" i="1"/>
  <c r="F541" i="1" s="1"/>
  <c r="L516" i="1"/>
  <c r="G539" i="1" s="1"/>
  <c r="G542" i="1" s="1"/>
  <c r="L517" i="1"/>
  <c r="G540" i="1"/>
  <c r="L518" i="1"/>
  <c r="L519" i="1" s="1"/>
  <c r="G541" i="1"/>
  <c r="L521" i="1"/>
  <c r="H539" i="1"/>
  <c r="L522" i="1"/>
  <c r="H540" i="1"/>
  <c r="L523" i="1"/>
  <c r="H541" i="1" s="1"/>
  <c r="L526" i="1"/>
  <c r="I539" i="1" s="1"/>
  <c r="I542" i="1" s="1"/>
  <c r="L527" i="1"/>
  <c r="L528" i="1"/>
  <c r="L529" i="1" s="1"/>
  <c r="I541" i="1"/>
  <c r="L531" i="1"/>
  <c r="J539" i="1" s="1"/>
  <c r="L532" i="1"/>
  <c r="J540" i="1" s="1"/>
  <c r="L533" i="1"/>
  <c r="J541" i="1" s="1"/>
  <c r="E124" i="2"/>
  <c r="K262" i="1"/>
  <c r="J262" i="1"/>
  <c r="I262" i="1"/>
  <c r="H262" i="1"/>
  <c r="G262" i="1"/>
  <c r="L262" i="1" s="1"/>
  <c r="F262" i="1"/>
  <c r="C124" i="2"/>
  <c r="C123" i="2"/>
  <c r="A1" i="2"/>
  <c r="A2" i="2"/>
  <c r="C9" i="2"/>
  <c r="C10" i="2"/>
  <c r="C11" i="2"/>
  <c r="C12" i="2"/>
  <c r="C13" i="2"/>
  <c r="C19" i="2" s="1"/>
  <c r="C14" i="2"/>
  <c r="C16" i="2"/>
  <c r="C17" i="2"/>
  <c r="C18" i="2"/>
  <c r="D9" i="2"/>
  <c r="E9" i="2"/>
  <c r="I431" i="1"/>
  <c r="D10" i="2"/>
  <c r="E10" i="2"/>
  <c r="I432" i="1"/>
  <c r="J10" i="1"/>
  <c r="J19" i="1" s="1"/>
  <c r="G611" i="1" s="1"/>
  <c r="D12" i="2"/>
  <c r="D19" i="2" s="1"/>
  <c r="D13" i="2"/>
  <c r="D14" i="2"/>
  <c r="D16" i="2"/>
  <c r="D17" i="2"/>
  <c r="D18" i="2"/>
  <c r="E12" i="2"/>
  <c r="I433" i="1"/>
  <c r="J12" i="1"/>
  <c r="G12" i="2" s="1"/>
  <c r="E13" i="2"/>
  <c r="E14" i="2"/>
  <c r="E19" i="2" s="1"/>
  <c r="E16" i="2"/>
  <c r="E17" i="2"/>
  <c r="E18" i="2"/>
  <c r="I434" i="1"/>
  <c r="J13" i="1" s="1"/>
  <c r="G13" i="2" s="1"/>
  <c r="G19" i="2" s="1"/>
  <c r="I435" i="1"/>
  <c r="J14" i="1" s="1"/>
  <c r="G14" i="2" s="1"/>
  <c r="I436" i="1"/>
  <c r="J17" i="1"/>
  <c r="G17" i="2"/>
  <c r="I437" i="1"/>
  <c r="I438" i="1" s="1"/>
  <c r="G632" i="1" s="1"/>
  <c r="J18" i="1"/>
  <c r="G18" i="2" s="1"/>
  <c r="C22" i="2"/>
  <c r="D22" i="2"/>
  <c r="D32" i="2" s="1"/>
  <c r="E22" i="2"/>
  <c r="E32" i="2" s="1"/>
  <c r="F22" i="2"/>
  <c r="F23" i="2"/>
  <c r="F24" i="2"/>
  <c r="F25" i="2"/>
  <c r="F26" i="2"/>
  <c r="F27" i="2"/>
  <c r="F32" i="2" s="1"/>
  <c r="F28" i="2"/>
  <c r="F29" i="2"/>
  <c r="F30" i="2"/>
  <c r="F31" i="2"/>
  <c r="I440" i="1"/>
  <c r="I444" i="1" s="1"/>
  <c r="C23" i="2"/>
  <c r="D23" i="2"/>
  <c r="D24" i="2"/>
  <c r="D25" i="2"/>
  <c r="D28" i="2"/>
  <c r="D29" i="2"/>
  <c r="D30" i="2"/>
  <c r="D31" i="2"/>
  <c r="E23" i="2"/>
  <c r="E25" i="2"/>
  <c r="E28" i="2"/>
  <c r="E29" i="2"/>
  <c r="E30" i="2"/>
  <c r="E31" i="2"/>
  <c r="I441" i="1"/>
  <c r="J24" i="1" s="1"/>
  <c r="C24" i="2"/>
  <c r="I442" i="1"/>
  <c r="J25" i="1"/>
  <c r="G24" i="2"/>
  <c r="C25" i="2"/>
  <c r="C26" i="2"/>
  <c r="C27" i="2"/>
  <c r="C28" i="2"/>
  <c r="C29" i="2"/>
  <c r="C30" i="2"/>
  <c r="C31" i="2"/>
  <c r="I443" i="1"/>
  <c r="J32" i="1" s="1"/>
  <c r="G31" i="2" s="1"/>
  <c r="C34" i="2"/>
  <c r="C42" i="2" s="1"/>
  <c r="C43" i="2" s="1"/>
  <c r="D34" i="2"/>
  <c r="D42" i="2" s="1"/>
  <c r="D43" i="2" s="1"/>
  <c r="E34" i="2"/>
  <c r="F34" i="2"/>
  <c r="F42" i="2" s="1"/>
  <c r="F43" i="2" s="1"/>
  <c r="F35" i="2"/>
  <c r="F36" i="2"/>
  <c r="F37" i="2"/>
  <c r="F38" i="2"/>
  <c r="F40" i="2"/>
  <c r="F41" i="2"/>
  <c r="C35" i="2"/>
  <c r="D35" i="2"/>
  <c r="E35" i="2"/>
  <c r="E42" i="2" s="1"/>
  <c r="C36" i="2"/>
  <c r="D36" i="2"/>
  <c r="E36" i="2"/>
  <c r="I446" i="1"/>
  <c r="J37" i="1" s="1"/>
  <c r="I447" i="1"/>
  <c r="J38" i="1"/>
  <c r="G37" i="2" s="1"/>
  <c r="I448" i="1"/>
  <c r="J40" i="1"/>
  <c r="G39" i="2"/>
  <c r="I449" i="1"/>
  <c r="J41" i="1" s="1"/>
  <c r="G40" i="2" s="1"/>
  <c r="C37" i="2"/>
  <c r="D37" i="2"/>
  <c r="E37" i="2"/>
  <c r="C38" i="2"/>
  <c r="D38" i="2"/>
  <c r="E38" i="2"/>
  <c r="C40" i="2"/>
  <c r="D40" i="2"/>
  <c r="E40" i="2"/>
  <c r="C41" i="2"/>
  <c r="D41" i="2"/>
  <c r="E41" i="2"/>
  <c r="C48" i="2"/>
  <c r="C50" i="2"/>
  <c r="C51" i="2"/>
  <c r="C53" i="2"/>
  <c r="D48" i="2"/>
  <c r="E48" i="2"/>
  <c r="E49" i="2"/>
  <c r="E51" i="2"/>
  <c r="E53" i="2"/>
  <c r="D51" i="2"/>
  <c r="D52" i="2"/>
  <c r="D54" i="2" s="1"/>
  <c r="D53" i="2"/>
  <c r="F51" i="2"/>
  <c r="F53" i="2"/>
  <c r="F54" i="2" s="1"/>
  <c r="C58" i="2"/>
  <c r="C59" i="2"/>
  <c r="C61" i="2"/>
  <c r="D61" i="2"/>
  <c r="D62" i="2"/>
  <c r="E61" i="2"/>
  <c r="E62" i="2"/>
  <c r="F61" i="2"/>
  <c r="F62" i="2" s="1"/>
  <c r="C64" i="2"/>
  <c r="C70" i="2" s="1"/>
  <c r="F64" i="2"/>
  <c r="C65" i="2"/>
  <c r="F65" i="2"/>
  <c r="F70" i="2" s="1"/>
  <c r="F73" i="2" s="1"/>
  <c r="F68" i="2"/>
  <c r="F69" i="2"/>
  <c r="C66" i="2"/>
  <c r="C67" i="2"/>
  <c r="C68" i="2"/>
  <c r="E68" i="2"/>
  <c r="C69" i="2"/>
  <c r="D69" i="2"/>
  <c r="D70" i="2" s="1"/>
  <c r="D73" i="2" s="1"/>
  <c r="E69" i="2"/>
  <c r="D71" i="2"/>
  <c r="E70" i="2"/>
  <c r="E73" i="2" s="1"/>
  <c r="E71" i="2"/>
  <c r="E72" i="2"/>
  <c r="C71" i="2"/>
  <c r="C72" i="2"/>
  <c r="C77" i="2"/>
  <c r="C83" i="2" s="1"/>
  <c r="E79" i="2"/>
  <c r="E80" i="2"/>
  <c r="E81" i="2"/>
  <c r="F77" i="2"/>
  <c r="F83" i="2" s="1"/>
  <c r="F79" i="2"/>
  <c r="F80" i="2"/>
  <c r="F81" i="2"/>
  <c r="C79" i="2"/>
  <c r="C80" i="2"/>
  <c r="D80" i="2"/>
  <c r="C81" i="2"/>
  <c r="D81" i="2"/>
  <c r="C82" i="2"/>
  <c r="C85" i="2"/>
  <c r="F85" i="2"/>
  <c r="F95" i="2" s="1"/>
  <c r="C86" i="2"/>
  <c r="C95" i="2" s="1"/>
  <c r="F86" i="2"/>
  <c r="D88" i="2"/>
  <c r="D95" i="2" s="1"/>
  <c r="D89" i="2"/>
  <c r="D90" i="2"/>
  <c r="D91" i="2"/>
  <c r="D92" i="2"/>
  <c r="D93" i="2"/>
  <c r="D94" i="2"/>
  <c r="E88" i="2"/>
  <c r="E95" i="2" s="1"/>
  <c r="F88" i="2"/>
  <c r="C89" i="2"/>
  <c r="E89" i="2"/>
  <c r="F89" i="2"/>
  <c r="C90" i="2"/>
  <c r="E90" i="2"/>
  <c r="E91" i="2"/>
  <c r="E92" i="2"/>
  <c r="E93" i="2"/>
  <c r="E94" i="2"/>
  <c r="C91" i="2"/>
  <c r="F91" i="2"/>
  <c r="C92" i="2"/>
  <c r="F92" i="2"/>
  <c r="C93" i="2"/>
  <c r="F93" i="2"/>
  <c r="C94" i="2"/>
  <c r="F94" i="2"/>
  <c r="E105" i="2"/>
  <c r="C106" i="2"/>
  <c r="E106" i="2"/>
  <c r="D107" i="2"/>
  <c r="F107" i="2"/>
  <c r="G107" i="2"/>
  <c r="G137" i="2" s="1"/>
  <c r="E113" i="2"/>
  <c r="F120" i="2"/>
  <c r="G120" i="2"/>
  <c r="C122" i="2"/>
  <c r="E122" i="2"/>
  <c r="D126" i="2"/>
  <c r="D136" i="2"/>
  <c r="E126" i="2"/>
  <c r="F126" i="2"/>
  <c r="K411" i="1"/>
  <c r="K426" i="1"/>
  <c r="G126" i="2" s="1"/>
  <c r="G136" i="2" s="1"/>
  <c r="K419" i="1"/>
  <c r="K425" i="1"/>
  <c r="L255" i="1"/>
  <c r="C127" i="2"/>
  <c r="E127" i="2"/>
  <c r="L256" i="1"/>
  <c r="C128" i="2"/>
  <c r="L257" i="1"/>
  <c r="C129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C151" i="2"/>
  <c r="D151" i="2"/>
  <c r="B152" i="2"/>
  <c r="C152" i="2"/>
  <c r="D152" i="2"/>
  <c r="E152" i="2"/>
  <c r="G152" i="2" s="1"/>
  <c r="F152" i="2"/>
  <c r="F490" i="1"/>
  <c r="B153" i="2" s="1"/>
  <c r="G490" i="1"/>
  <c r="C153" i="2" s="1"/>
  <c r="H490" i="1"/>
  <c r="B154" i="2"/>
  <c r="C154" i="2"/>
  <c r="D154" i="2"/>
  <c r="E154" i="2"/>
  <c r="F154" i="2"/>
  <c r="B155" i="2"/>
  <c r="C155" i="2"/>
  <c r="D155" i="2"/>
  <c r="E155" i="2"/>
  <c r="F155" i="2"/>
  <c r="F493" i="1"/>
  <c r="B156" i="2" s="1"/>
  <c r="G156" i="2" s="1"/>
  <c r="G493" i="1"/>
  <c r="H493" i="1"/>
  <c r="D156" i="2"/>
  <c r="I493" i="1"/>
  <c r="E156" i="2" s="1"/>
  <c r="J493" i="1"/>
  <c r="F156" i="2" s="1"/>
  <c r="F19" i="1"/>
  <c r="G607" i="1" s="1"/>
  <c r="G19" i="1"/>
  <c r="H19" i="1"/>
  <c r="G609" i="1"/>
  <c r="J609" i="1" s="1"/>
  <c r="F33" i="1"/>
  <c r="G33" i="1"/>
  <c r="G44" i="1" s="1"/>
  <c r="H608" i="1" s="1"/>
  <c r="J608" i="1" s="1"/>
  <c r="H33" i="1"/>
  <c r="I33" i="1"/>
  <c r="F43" i="1"/>
  <c r="F44" i="1" s="1"/>
  <c r="H607" i="1" s="1"/>
  <c r="G43" i="1"/>
  <c r="H43" i="1"/>
  <c r="H44" i="1" s="1"/>
  <c r="H609" i="1" s="1"/>
  <c r="I43" i="1"/>
  <c r="G615" i="1" s="1"/>
  <c r="J615" i="1" s="1"/>
  <c r="I44" i="1"/>
  <c r="H610" i="1"/>
  <c r="F169" i="1"/>
  <c r="I169" i="1"/>
  <c r="I184" i="1" s="1"/>
  <c r="F175" i="1"/>
  <c r="F184" i="1" s="1"/>
  <c r="G175" i="1"/>
  <c r="G180" i="1"/>
  <c r="G184" i="1"/>
  <c r="H175" i="1"/>
  <c r="H180" i="1"/>
  <c r="H184" i="1"/>
  <c r="I175" i="1"/>
  <c r="J175" i="1"/>
  <c r="G635" i="1" s="1"/>
  <c r="J635" i="1" s="1"/>
  <c r="J184" i="1"/>
  <c r="F180" i="1"/>
  <c r="I180" i="1"/>
  <c r="G203" i="1"/>
  <c r="H203" i="1"/>
  <c r="I203" i="1"/>
  <c r="I239" i="1"/>
  <c r="I248" i="1"/>
  <c r="J203" i="1"/>
  <c r="K203" i="1"/>
  <c r="F221" i="1"/>
  <c r="F239" i="1"/>
  <c r="F248" i="1"/>
  <c r="G221" i="1"/>
  <c r="J221" i="1"/>
  <c r="K221" i="1"/>
  <c r="K249" i="1" s="1"/>
  <c r="K263" i="1" s="1"/>
  <c r="G239" i="1"/>
  <c r="H239" i="1"/>
  <c r="J239" i="1"/>
  <c r="J249" i="1" s="1"/>
  <c r="K239" i="1"/>
  <c r="G248" i="1"/>
  <c r="L248" i="1" s="1"/>
  <c r="H248" i="1"/>
  <c r="J248" i="1"/>
  <c r="K248" i="1"/>
  <c r="F282" i="1"/>
  <c r="G282" i="1"/>
  <c r="H282" i="1"/>
  <c r="H301" i="1"/>
  <c r="H320" i="1"/>
  <c r="H330" i="1" s="1"/>
  <c r="H344" i="1" s="1"/>
  <c r="H329" i="1"/>
  <c r="I282" i="1"/>
  <c r="I330" i="1" s="1"/>
  <c r="I344" i="1" s="1"/>
  <c r="F301" i="1"/>
  <c r="F330" i="1" s="1"/>
  <c r="F344" i="1" s="1"/>
  <c r="G301" i="1"/>
  <c r="I301" i="1"/>
  <c r="F320" i="1"/>
  <c r="G320" i="1"/>
  <c r="I320" i="1"/>
  <c r="F329" i="1"/>
  <c r="L329" i="1"/>
  <c r="G329" i="1"/>
  <c r="I329" i="1"/>
  <c r="J329" i="1"/>
  <c r="K329" i="1"/>
  <c r="K330" i="1" s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J633" i="1" s="1"/>
  <c r="G385" i="1"/>
  <c r="H385" i="1"/>
  <c r="H400" i="1" s="1"/>
  <c r="H634" i="1" s="1"/>
  <c r="I385" i="1"/>
  <c r="F393" i="1"/>
  <c r="G393" i="1"/>
  <c r="H393" i="1"/>
  <c r="I393" i="1"/>
  <c r="F399" i="1"/>
  <c r="G399" i="1"/>
  <c r="G400" i="1" s="1"/>
  <c r="H635" i="1" s="1"/>
  <c r="H399" i="1"/>
  <c r="I399" i="1"/>
  <c r="I400" i="1" s="1"/>
  <c r="L405" i="1"/>
  <c r="L406" i="1"/>
  <c r="L407" i="1"/>
  <c r="L411" i="1" s="1"/>
  <c r="L408" i="1"/>
  <c r="L409" i="1"/>
  <c r="L410" i="1"/>
  <c r="F411" i="1"/>
  <c r="G411" i="1"/>
  <c r="H411" i="1"/>
  <c r="H426" i="1" s="1"/>
  <c r="I411" i="1"/>
  <c r="I426" i="1" s="1"/>
  <c r="J411" i="1"/>
  <c r="L413" i="1"/>
  <c r="L414" i="1"/>
  <c r="L415" i="1"/>
  <c r="L416" i="1"/>
  <c r="L417" i="1"/>
  <c r="L419" i="1" s="1"/>
  <c r="L418" i="1"/>
  <c r="F419" i="1"/>
  <c r="F426" i="1" s="1"/>
  <c r="G419" i="1"/>
  <c r="H419" i="1"/>
  <c r="H425" i="1"/>
  <c r="I419" i="1"/>
  <c r="J419" i="1"/>
  <c r="L421" i="1"/>
  <c r="L425" i="1" s="1"/>
  <c r="L422" i="1"/>
  <c r="L423" i="1"/>
  <c r="L424" i="1"/>
  <c r="F425" i="1"/>
  <c r="G425" i="1"/>
  <c r="G426" i="1" s="1"/>
  <c r="I425" i="1"/>
  <c r="J425" i="1"/>
  <c r="J426" i="1"/>
  <c r="F438" i="1"/>
  <c r="G629" i="1"/>
  <c r="F450" i="1"/>
  <c r="F444" i="1"/>
  <c r="F451" i="1" s="1"/>
  <c r="H629" i="1" s="1"/>
  <c r="G438" i="1"/>
  <c r="G630" i="1"/>
  <c r="J630" i="1" s="1"/>
  <c r="G450" i="1"/>
  <c r="G444" i="1"/>
  <c r="G451" i="1" s="1"/>
  <c r="H630" i="1" s="1"/>
  <c r="H438" i="1"/>
  <c r="H444" i="1"/>
  <c r="H451" i="1" s="1"/>
  <c r="H631" i="1" s="1"/>
  <c r="J631" i="1" s="1"/>
  <c r="H450" i="1"/>
  <c r="F460" i="1"/>
  <c r="G460" i="1"/>
  <c r="G466" i="1" s="1"/>
  <c r="H613" i="1" s="1"/>
  <c r="G464" i="1"/>
  <c r="H460" i="1"/>
  <c r="J460" i="1"/>
  <c r="F464" i="1"/>
  <c r="H464" i="1"/>
  <c r="J464" i="1"/>
  <c r="J466" i="1" s="1"/>
  <c r="H616" i="1" s="1"/>
  <c r="H466" i="1"/>
  <c r="H614" i="1" s="1"/>
  <c r="G614" i="1"/>
  <c r="K485" i="1"/>
  <c r="K486" i="1"/>
  <c r="K487" i="1"/>
  <c r="K489" i="1"/>
  <c r="K491" i="1"/>
  <c r="K492" i="1"/>
  <c r="F507" i="1"/>
  <c r="G507" i="1"/>
  <c r="H507" i="1"/>
  <c r="I507" i="1"/>
  <c r="F514" i="1"/>
  <c r="F535" i="1" s="1"/>
  <c r="G514" i="1"/>
  <c r="G535" i="1" s="1"/>
  <c r="H514" i="1"/>
  <c r="I514" i="1"/>
  <c r="J514" i="1"/>
  <c r="K514" i="1"/>
  <c r="K535" i="1"/>
  <c r="F519" i="1"/>
  <c r="G519" i="1"/>
  <c r="H519" i="1"/>
  <c r="I519" i="1"/>
  <c r="I535" i="1" s="1"/>
  <c r="J519" i="1"/>
  <c r="J535" i="1" s="1"/>
  <c r="K519" i="1"/>
  <c r="F524" i="1"/>
  <c r="G524" i="1"/>
  <c r="H524" i="1"/>
  <c r="H535" i="1" s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50" i="1" s="1"/>
  <c r="L561" i="1" s="1"/>
  <c r="L548" i="1"/>
  <c r="L549" i="1"/>
  <c r="F550" i="1"/>
  <c r="G550" i="1"/>
  <c r="G561" i="1" s="1"/>
  <c r="H550" i="1"/>
  <c r="H561" i="1" s="1"/>
  <c r="I550" i="1"/>
  <c r="I555" i="1"/>
  <c r="I561" i="1" s="1"/>
  <c r="I560" i="1"/>
  <c r="J550" i="1"/>
  <c r="J561" i="1" s="1"/>
  <c r="K550" i="1"/>
  <c r="K561" i="1" s="1"/>
  <c r="L552" i="1"/>
  <c r="L555" i="1" s="1"/>
  <c r="L553" i="1"/>
  <c r="L554" i="1"/>
  <c r="F555" i="1"/>
  <c r="G555" i="1"/>
  <c r="H555" i="1"/>
  <c r="J555" i="1"/>
  <c r="K555" i="1"/>
  <c r="K560" i="1"/>
  <c r="L557" i="1"/>
  <c r="L560" i="1"/>
  <c r="L558" i="1"/>
  <c r="L559" i="1"/>
  <c r="F560" i="1"/>
  <c r="G560" i="1"/>
  <c r="H560" i="1"/>
  <c r="J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J639" i="1" s="1"/>
  <c r="I588" i="1"/>
  <c r="H640" i="1" s="1"/>
  <c r="J640" i="1" s="1"/>
  <c r="G640" i="1"/>
  <c r="J588" i="1"/>
  <c r="H641" i="1"/>
  <c r="J641" i="1" s="1"/>
  <c r="G641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8" i="1"/>
  <c r="H617" i="1"/>
  <c r="H618" i="1"/>
  <c r="H619" i="1"/>
  <c r="H620" i="1"/>
  <c r="H621" i="1"/>
  <c r="H622" i="1"/>
  <c r="H623" i="1"/>
  <c r="H625" i="1"/>
  <c r="H626" i="1"/>
  <c r="H627" i="1"/>
  <c r="H628" i="1"/>
  <c r="G631" i="1"/>
  <c r="G633" i="1"/>
  <c r="G634" i="1"/>
  <c r="G639" i="1"/>
  <c r="G642" i="1"/>
  <c r="H642" i="1"/>
  <c r="J642" i="1"/>
  <c r="G643" i="1"/>
  <c r="H643" i="1"/>
  <c r="G644" i="1"/>
  <c r="J644" i="1" s="1"/>
  <c r="H644" i="1"/>
  <c r="G645" i="1"/>
  <c r="J645" i="1" s="1"/>
  <c r="H645" i="1"/>
  <c r="F561" i="1"/>
  <c r="L524" i="1"/>
  <c r="H132" i="1"/>
  <c r="H25" i="13"/>
  <c r="E123" i="2"/>
  <c r="J23" i="1"/>
  <c r="I540" i="1"/>
  <c r="F31" i="13"/>
  <c r="C18" i="10"/>
  <c r="D153" i="2"/>
  <c r="C115" i="2"/>
  <c r="C111" i="2"/>
  <c r="G161" i="1"/>
  <c r="E116" i="2"/>
  <c r="E112" i="2"/>
  <c r="G31" i="13"/>
  <c r="G613" i="1"/>
  <c r="J613" i="1" s="1"/>
  <c r="K493" i="1"/>
  <c r="C156" i="2"/>
  <c r="C104" i="2"/>
  <c r="J643" i="1"/>
  <c r="G330" i="1"/>
  <c r="G344" i="1"/>
  <c r="I104" i="1"/>
  <c r="H104" i="1"/>
  <c r="F22" i="13"/>
  <c r="C22" i="13"/>
  <c r="J9" i="1"/>
  <c r="D77" i="2"/>
  <c r="D83" i="2" s="1"/>
  <c r="K588" i="1"/>
  <c r="G637" i="1" s="1"/>
  <c r="F466" i="1"/>
  <c r="H612" i="1"/>
  <c r="G155" i="2"/>
  <c r="E114" i="2"/>
  <c r="C116" i="2"/>
  <c r="D14" i="13"/>
  <c r="C14" i="13" s="1"/>
  <c r="G9" i="2"/>
  <c r="H33" i="13"/>
  <c r="C25" i="13"/>
  <c r="G22" i="2"/>
  <c r="C73" i="2"/>
  <c r="C32" i="2"/>
  <c r="D7" i="13"/>
  <c r="C7" i="13"/>
  <c r="G154" i="2"/>
  <c r="A31" i="12"/>
  <c r="D17" i="13"/>
  <c r="C17" i="13" s="1"/>
  <c r="G10" i="2"/>
  <c r="J104" i="1"/>
  <c r="G104" i="1"/>
  <c r="G185" i="1"/>
  <c r="G618" i="1" s="1"/>
  <c r="J618" i="1" s="1"/>
  <c r="G23" i="2" l="1"/>
  <c r="G32" i="2" s="1"/>
  <c r="J33" i="1"/>
  <c r="F185" i="1"/>
  <c r="G617" i="1" s="1"/>
  <c r="J617" i="1" s="1"/>
  <c r="C36" i="10"/>
  <c r="J637" i="1"/>
  <c r="J607" i="1"/>
  <c r="C136" i="2"/>
  <c r="H542" i="1"/>
  <c r="C38" i="10"/>
  <c r="F9" i="2"/>
  <c r="F19" i="2" s="1"/>
  <c r="I19" i="1"/>
  <c r="G610" i="1" s="1"/>
  <c r="J610" i="1" s="1"/>
  <c r="J629" i="1"/>
  <c r="G151" i="2"/>
  <c r="E136" i="2"/>
  <c r="G621" i="1"/>
  <c r="J621" i="1" s="1"/>
  <c r="G636" i="1"/>
  <c r="L400" i="1"/>
  <c r="C130" i="2"/>
  <c r="C133" i="2" s="1"/>
  <c r="C8" i="13"/>
  <c r="E54" i="2"/>
  <c r="E55" i="2" s="1"/>
  <c r="E96" i="2" s="1"/>
  <c r="J634" i="1"/>
  <c r="J263" i="1"/>
  <c r="H638" i="1"/>
  <c r="G36" i="2"/>
  <c r="G42" i="2" s="1"/>
  <c r="J43" i="1"/>
  <c r="J542" i="1"/>
  <c r="K540" i="1"/>
  <c r="I652" i="1"/>
  <c r="I249" i="1"/>
  <c r="I263" i="1" s="1"/>
  <c r="D55" i="2"/>
  <c r="D96" i="2" s="1"/>
  <c r="E120" i="2"/>
  <c r="J638" i="1"/>
  <c r="J614" i="1"/>
  <c r="I185" i="1"/>
  <c r="G620" i="1" s="1"/>
  <c r="J620" i="1" s="1"/>
  <c r="I653" i="1"/>
  <c r="F542" i="1"/>
  <c r="K541" i="1"/>
  <c r="K542" i="1" s="1"/>
  <c r="E107" i="2"/>
  <c r="E137" i="2" s="1"/>
  <c r="G654" i="1"/>
  <c r="E16" i="13"/>
  <c r="C16" i="13" s="1"/>
  <c r="C117" i="2"/>
  <c r="C17" i="10"/>
  <c r="L426" i="1"/>
  <c r="G628" i="1" s="1"/>
  <c r="J628" i="1" s="1"/>
  <c r="E43" i="2"/>
  <c r="L343" i="1"/>
  <c r="D119" i="2"/>
  <c r="D120" i="2" s="1"/>
  <c r="D137" i="2" s="1"/>
  <c r="C110" i="2"/>
  <c r="C120" i="2" s="1"/>
  <c r="L604" i="1"/>
  <c r="C105" i="2"/>
  <c r="L320" i="1"/>
  <c r="H650" i="1" s="1"/>
  <c r="H654" i="1" s="1"/>
  <c r="H161" i="1"/>
  <c r="H185" i="1" s="1"/>
  <c r="G619" i="1" s="1"/>
  <c r="J619" i="1" s="1"/>
  <c r="L189" i="1"/>
  <c r="E13" i="13"/>
  <c r="C13" i="13" s="1"/>
  <c r="C26" i="10"/>
  <c r="L534" i="1"/>
  <c r="L535" i="1" s="1"/>
  <c r="L354" i="1"/>
  <c r="G249" i="1"/>
  <c r="G263" i="1" s="1"/>
  <c r="L282" i="1"/>
  <c r="K490" i="1"/>
  <c r="D29" i="13"/>
  <c r="C29" i="13" s="1"/>
  <c r="C15" i="10"/>
  <c r="H637" i="1"/>
  <c r="G612" i="1"/>
  <c r="J612" i="1" s="1"/>
  <c r="K488" i="1"/>
  <c r="C103" i="2"/>
  <c r="F5" i="13"/>
  <c r="C112" i="2"/>
  <c r="C11" i="10"/>
  <c r="J490" i="1"/>
  <c r="F153" i="2" s="1"/>
  <c r="C29" i="10"/>
  <c r="I450" i="1"/>
  <c r="I451" i="1" s="1"/>
  <c r="H632" i="1" s="1"/>
  <c r="J632" i="1" s="1"/>
  <c r="L374" i="1"/>
  <c r="G626" i="1" s="1"/>
  <c r="J626" i="1" s="1"/>
  <c r="I490" i="1"/>
  <c r="E153" i="2" s="1"/>
  <c r="G153" i="2" s="1"/>
  <c r="C49" i="2"/>
  <c r="C54" i="2" s="1"/>
  <c r="C55" i="2" s="1"/>
  <c r="C96" i="2" s="1"/>
  <c r="C113" i="2"/>
  <c r="C114" i="2"/>
  <c r="H662" i="1" l="1"/>
  <c r="C6" i="10" s="1"/>
  <c r="H657" i="1"/>
  <c r="G657" i="1"/>
  <c r="G662" i="1"/>
  <c r="C5" i="10" s="1"/>
  <c r="D31" i="13"/>
  <c r="C31" i="13" s="1"/>
  <c r="L330" i="1"/>
  <c r="L344" i="1" s="1"/>
  <c r="G623" i="1" s="1"/>
  <c r="J623" i="1" s="1"/>
  <c r="C41" i="10"/>
  <c r="D38" i="10" s="1"/>
  <c r="G625" i="1"/>
  <c r="J625" i="1" s="1"/>
  <c r="C27" i="10"/>
  <c r="J44" i="1"/>
  <c r="H611" i="1" s="1"/>
  <c r="J611" i="1" s="1"/>
  <c r="G616" i="1"/>
  <c r="J616" i="1" s="1"/>
  <c r="H636" i="1"/>
  <c r="J636" i="1" s="1"/>
  <c r="G627" i="1"/>
  <c r="J627" i="1" s="1"/>
  <c r="C39" i="10"/>
  <c r="G43" i="2"/>
  <c r="F33" i="13"/>
  <c r="D5" i="13"/>
  <c r="C10" i="10"/>
  <c r="L203" i="1"/>
  <c r="C101" i="2"/>
  <c r="C107" i="2" s="1"/>
  <c r="C137" i="2" s="1"/>
  <c r="E33" i="13"/>
  <c r="D35" i="13" s="1"/>
  <c r="C5" i="13" l="1"/>
  <c r="D33" i="13"/>
  <c r="D36" i="13" s="1"/>
  <c r="D10" i="10"/>
  <c r="C28" i="10"/>
  <c r="D40" i="10"/>
  <c r="D35" i="10"/>
  <c r="D37" i="10"/>
  <c r="D36" i="10"/>
  <c r="D39" i="10"/>
  <c r="H646" i="1"/>
  <c r="F650" i="1"/>
  <c r="L249" i="1"/>
  <c r="L263" i="1" s="1"/>
  <c r="G622" i="1" s="1"/>
  <c r="J622" i="1" s="1"/>
  <c r="D27" i="10"/>
  <c r="I650" i="1" l="1"/>
  <c r="I654" i="1" s="1"/>
  <c r="F654" i="1"/>
  <c r="D41" i="10"/>
  <c r="D22" i="10"/>
  <c r="D21" i="10"/>
  <c r="C30" i="10"/>
  <c r="D18" i="10"/>
  <c r="D24" i="10"/>
  <c r="D19" i="10"/>
  <c r="D12" i="10"/>
  <c r="D13" i="10"/>
  <c r="D16" i="10"/>
  <c r="D20" i="10"/>
  <c r="D23" i="10"/>
  <c r="D25" i="10"/>
  <c r="D15" i="10"/>
  <c r="D17" i="10"/>
  <c r="D26" i="10"/>
  <c r="D11" i="10"/>
  <c r="D28" i="10" s="1"/>
  <c r="I657" i="1" l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101C9B4-E7C1-48F4-BA37-03A28D51685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EBE6EC5-3815-415F-AD1D-95410AD1FC2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A7801FFC-A2CF-4417-8B83-EB2679A464E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EDF7667-DE20-4D06-A0F5-C637A582AF7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074FA55-C2B9-4436-9550-3C98D15128A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71187AC-F8C1-4BF7-B9D2-003E3A7DD43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507E66B-81E7-4FD6-ACA8-F788BAD9ACBA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25E9D2C-59FD-484E-BDA0-4B02B2E3AD49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9965A96-A5D9-43D3-96A6-F846478BC4E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647BA758-44B3-43A0-838D-1420CB9F14F6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A700BB8-B2BB-41DF-9770-3E1B594C774A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1EA83CC-309D-4D5C-A3A6-9290F9A7EBF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<sst xmlns="http://schemas.openxmlformats.org/spreadsheetml/2006/main" count="3865" uniqueCount="901">
  <si>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</si>
  <si>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</si>
  <si>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</si>
  <si>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</si>
  <si>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</si>
  <si>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</si>
  <si>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</si>
  <si>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</si>
  <si>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</si>
  <si>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</si>
  <si>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</si>
  <si>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</si>
  <si>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</si>
  <si>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</si>
  <si>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</si>
  <si>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</si>
  <si>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</si>
  <si>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</si>
  <si>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</si>
  <si>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</si>
  <si>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</si>
  <si>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</si>
  <si>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</si>
  <si>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</si>
  <si>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</si>
  <si>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</si>
  <si>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</si>
  <si>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</si>
  <si>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</si>
  <si>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</si>
  <si>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</si>
  <si>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</si>
  <si>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</si>
  <si>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</si>
  <si>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</si>
  <si>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</si>
  <si>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</si>
  <si>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</si>
  <si>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</si>
  <si>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</si>
  <si>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</si>
  <si>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</si>
  <si>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</si>
  <si>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</si>
  <si>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</si>
  <si>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</si>
  <si>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</si>
  <si>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</si>
  <si>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</si>
  <si>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</si>
  <si>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</si>
  <si>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</si>
  <si>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</si>
  <si>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</si>
  <si>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</si>
  <si>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</si>
  <si>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</si>
  <si>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</si>
  <si>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</si>
  <si>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</si>
  <si>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</si>
  <si>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</si>
  <si>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</si>
  <si>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</si>
  <si>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</si>
  <si>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</si>
  <si>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</si>
  <si>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</si>
  <si>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</si>
  <si>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</si>
  <si>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</si>
  <si>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</si>
  <si>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</si>
  <si>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</si>
  <si>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</si>
  <si>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</si>
  <si>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</si>
  <si>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</si>
  <si>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</si>
  <si>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</si>
  <si>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</si>
  <si>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</si>
  <si>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</si>
  <si>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</si>
  <si>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</si>
  <si>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</si>
  <si>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</si>
  <si>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</si>
  <si>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</si>
  <si>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</si>
  <si>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</si>
  <si>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</si>
  <si>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</si>
  <si>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</si>
  <si>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</si>
  <si>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</si>
  <si>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</si>
  <si>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</si>
  <si>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</si>
  <si>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</si>
  <si>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</si>
  <si>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</si>
  <si>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</si>
  <si>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</si>
  <si>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</si>
  <si>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</si>
  <si>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</si>
  <si>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</si>
  <si>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</si>
  <si>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</si>
  <si>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</si>
  <si>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</si>
  <si>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</si>
  <si>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</si>
  <si>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</si>
  <si>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</si>
  <si>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</si>
  <si>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</si>
  <si>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</si>
  <si>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</si>
  <si>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</si>
  <si>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</si>
  <si>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</si>
  <si>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</si>
  <si>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</si>
  <si>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</si>
  <si>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</si>
  <si>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</si>
  <si>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</si>
  <si>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</si>
  <si>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</si>
  <si>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</si>
  <si>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</si>
  <si>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</si>
  <si>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</si>
  <si>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</si>
  <si>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</si>
  <si>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</si>
  <si>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</si>
  <si>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</si>
  <si>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</si>
  <si>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</si>
  <si>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</si>
  <si>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</si>
  <si>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</si>
  <si>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</si>
  <si>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</si>
  <si>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</si>
  <si>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</si>
  <si>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</si>
  <si>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</si>
  <si>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</si>
  <si>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</si>
  <si>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</si>
  <si>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</si>
  <si>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</si>
  <si>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</si>
  <si>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</si>
  <si>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</si>
  <si>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</si>
  <si>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</si>
  <si>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</si>
  <si>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</si>
  <si>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</si>
  <si>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</si>
  <si>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</si>
  <si>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</si>
  <si>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</si>
  <si>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</si>
  <si>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</si>
  <si>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</si>
  <si>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</si>
  <si>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</si>
  <si>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</si>
  <si>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</si>
  <si>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</si>
  <si>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</si>
  <si>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</si>
  <si>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</si>
  <si>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</si>
  <si>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</si>
  <si>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</si>
  <si>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</si>
  <si>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</si>
  <si>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</si>
  <si>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</si>
  <si>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</si>
  <si>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</si>
  <si>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</si>
  <si>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</si>
  <si>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</si>
  <si>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</si>
  <si>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</si>
  <si>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</si>
  <si>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</si>
  <si>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</si>
  <si>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</si>
  <si>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</si>
  <si>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</si>
  <si>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</si>
  <si>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</si>
  <si>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</si>
  <si>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</si>
  <si>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</si>
  <si>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</si>
  <si>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</si>
  <si>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</si>
  <si>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</si>
  <si>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</si>
  <si>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</si>
  <si>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</si>
  <si>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</si>
  <si>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</si>
  <si>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</si>
  <si>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</si>
  <si>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</si>
  <si>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</si>
  <si>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</si>
  <si>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</si>
  <si>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</si>
  <si>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</si>
  <si>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</si>
  <si>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</si>
  <si>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</si>
  <si>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</si>
  <si>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</si>
  <si>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</si>
  <si>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</si>
  <si>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</si>
  <si>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</si>
  <si>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</si>
  <si>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</si>
  <si>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</si>
  <si>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</si>
  <si>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</si>
  <si>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</si>
  <si>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</si>
  <si>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</si>
  <si>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</si>
  <si>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</si>
  <si>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</si>
  <si>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</si>
  <si>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</si>
  <si>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</si>
  <si>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</si>
  <si>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</si>
  <si>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</si>
  <si>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</si>
  <si>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</si>
  <si>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</si>
  <si>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</si>
  <si>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</si>
  <si>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</si>
  <si>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</si>
  <si>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</si>
  <si>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</si>
  <si>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</si>
  <si>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</si>
  <si>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</si>
  <si>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</si>
  <si>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</si>
  <si>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</si>
  <si>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</si>
  <si>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</si>
  <si>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</si>
  <si>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</si>
  <si>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</si>
  <si>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</si>
  <si>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</si>
  <si>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</si>
  <si>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</si>
  <si>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</si>
  <si>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</si>
  <si>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</si>
  <si>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</si>
  <si>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</si>
  <si>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</si>
  <si>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</si>
  <si>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</si>
  <si>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</si>
  <si>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</si>
  <si>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</si>
  <si>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</si>
  <si>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</si>
  <si>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</si>
  <si>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</si>
  <si>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</si>
  <si>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</si>
  <si>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</si>
  <si>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</si>
  <si>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</si>
  <si>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</si>
  <si>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</si>
  <si>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</si>
  <si>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</si>
  <si>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</si>
  <si>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</si>
  <si>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</si>
  <si>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</si>
  <si>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</si>
  <si>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</si>
  <si>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</si>
  <si>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</si>
  <si>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</si>
  <si>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</si>
  <si>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</si>
  <si>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</si>
  <si>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</si>
  <si>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</si>
  <si>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</si>
  <si>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</si>
  <si>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</si>
  <si>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</si>
  <si>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</si>
  <si>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</si>
  <si>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</si>
  <si>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</si>
  <si>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</si>
  <si>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</si>
  <si>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</si>
  <si>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</si>
  <si>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</si>
  <si>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</si>
  <si>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</si>
  <si>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</si>
  <si>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</si>
  <si>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</si>
  <si>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</si>
  <si>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</si>
  <si>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</si>
  <si>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</si>
  <si>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</si>
  <si>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</si>
  <si>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</si>
  <si>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</si>
  <si>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</si>
  <si>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</si>
  <si>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</si>
  <si>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</si>
  <si>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</si>
  <si>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</si>
  <si>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</si>
  <si>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</si>
  <si>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</si>
  <si>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</si>
  <si>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</si>
  <si>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</si>
  <si>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</si>
  <si>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</si>
  <si>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</si>
  <si>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</si>
  <si>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</si>
  <si>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</si>
  <si>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</si>
  <si>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</si>
  <si>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</si>
  <si>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</si>
  <si>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</si>
  <si>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</si>
  <si>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</si>
  <si>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</si>
  <si>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</si>
  <si>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</si>
  <si>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</si>
  <si>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</si>
  <si>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</si>
  <si>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</si>
  <si>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</si>
  <si>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</si>
  <si>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</si>
  <si>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</si>
  <si>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</si>
  <si>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</si>
  <si>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</si>
  <si>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</si>
  <si>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</si>
  <si>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</si>
  <si>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</si>
  <si>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</si>
  <si>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</si>
  <si>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</si>
  <si>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</si>
  <si>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</si>
  <si>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</si>
  <si>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</si>
  <si>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</si>
  <si>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</si>
  <si>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</si>
  <si>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</si>
  <si>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</si>
  <si>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</si>
  <si>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</si>
  <si>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</si>
  <si>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</si>
  <si>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</si>
  <si>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</si>
  <si>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</si>
  <si>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</si>
  <si>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</si>
  <si>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</si>
  <si>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</si>
  <si>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</si>
  <si>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</si>
  <si>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</si>
  <si>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</si>
  <si>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</si>
  <si>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</si>
  <si>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</si>
  <si>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</si>
  <si>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</si>
  <si>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</si>
  <si>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</si>
  <si>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</si>
  <si>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</si>
  <si>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</si>
  <si>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</si>
  <si>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</si>
  <si>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</si>
  <si>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</si>
  <si>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</si>
  <si>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</si>
  <si>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</si>
  <si>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</si>
  <si>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</si>
  <si>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</si>
  <si>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</si>
  <si>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</si>
  <si>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</si>
  <si>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</si>
  <si>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</si>
  <si>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</si>
  <si>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</si>
  <si>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</si>
  <si>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</si>
  <si>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</si>
  <si>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</si>
  <si>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</si>
  <si>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</si>
  <si>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</si>
  <si>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</si>
  <si>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</si>
  <si>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</si>
  <si>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</si>
  <si>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</si>
  <si>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</si>
  <si>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</si>
  <si>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</si>
  <si>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</si>
  <si>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</si>
  <si>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</si>
  <si>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</si>
  <si>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</si>
  <si>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</si>
  <si>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</si>
  <si>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</si>
  <si>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</si>
  <si>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</si>
  <si>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</si>
  <si>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</si>
  <si>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</si>
  <si>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</si>
  <si>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</si>
  <si>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</si>
  <si>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</si>
  <si>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</si>
  <si>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</si>
  <si>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</si>
  <si>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</si>
  <si>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</si>
  <si>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</si>
  <si>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</si>
  <si>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</si>
  <si>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</si>
  <si>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</si>
  <si>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</si>
  <si>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</si>
  <si>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</si>
  <si>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</si>
  <si>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</si>
  <si>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</si>
  <si>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</si>
  <si>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</si>
  <si>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</si>
  <si>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</si>
  <si>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</si>
  <si>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</si>
  <si>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</si>
  <si>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</si>
  <si>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</si>
  <si>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</si>
  <si>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</si>
  <si>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</si>
  <si>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</si>
  <si>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</si>
  <si>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</si>
  <si>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</si>
  <si>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</si>
  <si>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</si>
  <si>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</si>
  <si>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</si>
  <si>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</si>
  <si>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</si>
  <si>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</si>
  <si>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</si>
  <si>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</si>
  <si>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</si>
  <si>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</si>
  <si>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</si>
  <si>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</si>
  <si>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</si>
  <si>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</si>
  <si>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</si>
  <si>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</si>
  <si>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</si>
  <si>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</si>
  <si>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</si>
  <si>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</si>
  <si>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</si>
  <si>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</si>
  <si>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</si>
  <si>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</si>
  <si>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</si>
  <si>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</si>
  <si>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</si>
  <si>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</si>
  <si>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</si>
  <si>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</si>
  <si>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</si>
  <si>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</si>
  <si>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</si>
  <si>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</si>
  <si>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</si>
  <si>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</si>
  <si>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</si>
  <si>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</si>
  <si>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</si>
  <si>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</si>
  <si>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</si>
  <si>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</si>
  <si>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</si>
  <si>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</si>
  <si>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</si>
  <si>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</si>
  <si>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</si>
  <si>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</si>
  <si>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</si>
  <si>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</si>
  <si>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</si>
  <si>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</si>
  <si>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</si>
  <si>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</si>
  <si>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</si>
  <si>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</si>
  <si>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</si>
  <si>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</si>
  <si>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</si>
  <si>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</si>
  <si>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</si>
  <si>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</si>
  <si>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</si>
  <si>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</si>
  <si>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</si>
  <si>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</si>
  <si>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</si>
  <si>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</si>
  <si>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</si>
  <si>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</si>
  <si>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</si>
  <si>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</si>
  <si>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</si>
  <si>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</si>
  <si>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</si>
  <si>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</si>
  <si>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</si>
  <si>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</si>
  <si>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</si>
  <si>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</si>
  <si>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</si>
  <si>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</si>
  <si>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</si>
  <si>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</si>
  <si>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</si>
  <si>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</si>
  <si>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</si>
  <si>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</si>
  <si>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</si>
  <si>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</si>
  <si>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</si>
  <si>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</si>
  <si>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</si>
  <si>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</si>
  <si>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</si>
  <si>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</si>
  <si>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</si>
  <si>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</si>
  <si>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</si>
  <si>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</si>
  <si>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</si>
  <si>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</si>
  <si>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</si>
  <si>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</si>
  <si>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</si>
  <si>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</si>
  <si>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</si>
  <si>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</si>
  <si>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</si>
  <si>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</si>
  <si>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</si>
  <si>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</si>
  <si>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</si>
  <si>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</si>
  <si>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</si>
  <si>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</si>
  <si>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</si>
  <si>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</si>
  <si>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</si>
  <si>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</si>
  <si>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</si>
  <si>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</si>
  <si>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</si>
  <si>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</si>
  <si>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</si>
  <si>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</si>
  <si>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</si>
  <si>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</si>
  <si>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</si>
  <si>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</si>
  <si>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</si>
  <si>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</si>
  <si>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</si>
  <si>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</si>
  <si>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</si>
  <si>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</si>
  <si>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</si>
  <si>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</si>
  <si>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</si>
  <si>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</si>
  <si>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</si>
  <si>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</si>
  <si>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</si>
  <si>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</si>
  <si>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</si>
  <si>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</si>
  <si>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</si>
  <si>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</si>
  <si>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</si>
  <si>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</si>
  <si>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</si>
  <si>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</si>
  <si>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</si>
  <si>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</si>
  <si>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</si>
  <si>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</si>
  <si>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</si>
  <si>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</si>
  <si>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</si>
  <si>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</si>
  <si>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</si>
  <si>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</si>
  <si>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</si>
  <si>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</si>
  <si>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</si>
  <si>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</si>
  <si>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</si>
  <si>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</si>
  <si>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</si>
  <si>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</si>
  <si>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</si>
  <si>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</si>
  <si>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</si>
  <si>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</si>
  <si>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</si>
  <si>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</si>
  <si>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</si>
  <si>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</si>
  <si>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</si>
  <si>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</si>
  <si>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</si>
  <si>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</si>
  <si>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</si>
  <si>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</si>
  <si>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</si>
  <si>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</si>
  <si>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</si>
  <si>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</si>
  <si>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</si>
  <si>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</si>
  <si>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</si>
  <si>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</si>
  <si>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</si>
  <si>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</si>
  <si>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</si>
  <si>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</si>
  <si>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</si>
  <si>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</si>
  <si>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</si>
  <si>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</si>
  <si>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</si>
  <si>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</si>
  <si>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</si>
  <si>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</si>
  <si>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</si>
  <si>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</si>
  <si>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</si>
  <si>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</si>
  <si>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</si>
  <si>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</si>
  <si>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</si>
  <si>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</si>
  <si>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</si>
  <si>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</si>
  <si>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</si>
  <si>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</si>
  <si>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</si>
  <si>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</si>
  <si>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</si>
  <si>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</si>
  <si>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</si>
  <si>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</si>
  <si>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</si>
  <si>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</si>
  <si>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</si>
  <si>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</si>
  <si>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</si>
  <si>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</si>
  <si>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</si>
  <si>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</si>
  <si>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</si>
  <si>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</si>
  <si>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</si>
  <si>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</si>
  <si>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</si>
  <si>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</si>
  <si>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</si>
  <si>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</si>
  <si>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</si>
  <si>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</si>
  <si>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</si>
  <si>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</si>
  <si>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</si>
  <si>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</si>
  <si>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</si>
  <si>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</si>
  <si>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</si>
  <si>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</si>
  <si>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</si>
  <si>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</si>
  <si>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</si>
  <si>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</si>
  <si>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</si>
  <si>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</si>
  <si>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</si>
  <si>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</si>
  <si>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</si>
  <si>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</si>
  <si>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</si>
  <si>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</si>
  <si>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</si>
  <si>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</si>
  <si>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</si>
  <si>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</si>
  <si>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</si>
  <si>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</si>
  <si>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</si>
  <si>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</si>
  <si>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</si>
  <si>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</si>
  <si>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</si>
  <si>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</si>
  <si>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</si>
  <si>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</si>
  <si>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</si>
  <si>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</si>
  <si>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</si>
  <si>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</si>
  <si>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</si>
  <si>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</si>
  <si>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</si>
  <si>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</si>
  <si>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</si>
  <si>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</si>
  <si>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</si>
  <si>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</si>
  <si>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</si>
  <si>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</si>
  <si>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</si>
  <si>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</si>
  <si>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</si>
  <si>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</si>
  <si>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</si>
  <si>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</si>
  <si>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</si>
  <si>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</si>
  <si>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</si>
  <si>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</si>
  <si>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</si>
  <si>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</si>
  <si>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</si>
  <si>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</si>
  <si>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</si>
  <si>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</si>
  <si>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</si>
  <si>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</si>
  <si>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</si>
  <si>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</si>
  <si>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</si>
  <si>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</si>
  <si>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</si>
  <si>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</si>
  <si>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</si>
  <si>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</si>
  <si>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</si>
  <si>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</si>
  <si>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</si>
  <si>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</si>
  <si>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</si>
  <si>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</si>
  <si>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</si>
  <si>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</si>
  <si>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</si>
  <si>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</si>
  <si>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</si>
  <si>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</si>
  <si>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</si>
  <si>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</si>
  <si>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</si>
  <si>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</si>
  <si>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</si>
  <si>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</si>
  <si>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</si>
  <si>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</si>
  <si>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</si>
  <si>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</si>
  <si>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</si>
  <si>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</si>
  <si>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</si>
  <si>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</si>
  <si>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</si>
  <si>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</si>
  <si>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</si>
  <si>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</si>
  <si>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</si>
  <si>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</si>
  <si>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</si>
  <si>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</si>
  <si>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</si>
  <si>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</si>
  <si>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</si>
  <si>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</si>
  <si>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</si>
  <si>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</si>
  <si>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</si>
  <si>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</si>
  <si>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</si>
  <si>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</si>
  <si>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</si>
  <si>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</si>
  <si>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</si>
  <si>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</si>
  <si>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</si>
  <si>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</si>
  <si>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</si>
  <si>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</si>
  <si>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</si>
  <si>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</si>
  <si>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</si>
  <si>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</si>
  <si>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</si>
  <si>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</si>
  <si>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</si>
  <si>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</si>
  <si>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</si>
  <si>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</si>
  <si>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</si>
  <si>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</si>
  <si>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</si>
  <si>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</si>
  <si>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</si>
  <si>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</si>
  <si>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</si>
  <si>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</si>
  <si>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</si>
  <si>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</si>
  <si>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</si>
  <si>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</si>
  <si>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</si>
  <si>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</si>
  <si>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</si>
  <si>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</si>
  <si>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</si>
  <si>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</si>
  <si>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</si>
  <si>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</si>
  <si>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</si>
  <si>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6/97</t>
  </si>
  <si>
    <t>7/10</t>
  </si>
  <si>
    <t>7/11</t>
  </si>
  <si>
    <t>11/21</t>
  </si>
  <si>
    <t>8/03</t>
  </si>
  <si>
    <t>2/23</t>
  </si>
  <si>
    <t>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</si>
</sst>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  <font>
      <sz val="10"/>
      <color indexed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2">
    <xf numFmtId="0" fontId="0" fillId="0" borderId="0"/>
    <xf numFmtId="0" fontId="37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2">
    <cellStyle name="Normal" xfId="0" builtinId="0"/>
    <cellStyle name="Normal 2" xfId="1" xr:uid="{78348103-6A71-4F43-A140-622C51A4DDBC}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AEA4-5D9D-41BA-AE9E-0976DBD0D12D}">
  <sheetPr transitionEvaluation="1" transitionEntry="1" codeName="Sheet1">
    <tabColor indexed="56"/>
  </sheetPr>
  <dimension ref="A1:AQ666"/>
  <sheetViews>
    <sheetView zoomScale="75" workbookViewId="0">
      <pane xSplit="5" ySplit="3" topLeftCell="F647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/>
      <c r="B2" s="21"/>
      <c r="C2" s="21"/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3921940.78</v>
      </c>
      <c r="G9" s="18"/>
      <c r="H9" s="18"/>
      <c r="I9" s="18">
        <f>146877.71+0.01</f>
        <v>146877.72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60217.72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/>
      <c r="H13" s="18"/>
      <c r="I13" s="18"/>
      <c r="J13" s="67">
        <f>SUM(I434)</f>
        <v>957222.91999999993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43628.5</v>
      </c>
      <c r="G14" s="18">
        <v>5735.34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600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3966169.28</v>
      </c>
      <c r="G19" s="41">
        <f>SUM(G9:G18)</f>
        <v>5735.34</v>
      </c>
      <c r="H19" s="41">
        <f>SUM(H9:H18)</f>
        <v>0</v>
      </c>
      <c r="I19" s="41">
        <f>SUM(I9:I18)</f>
        <v>146877.72</v>
      </c>
      <c r="J19" s="41">
        <f>SUM(J9:J18)</f>
        <v>1017440.6399999999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-315524.01</v>
      </c>
      <c r="G24" s="18">
        <v>-27606.959999999999</v>
      </c>
      <c r="H24" s="18">
        <f>220899.59+122231.38</f>
        <v>343130.97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306933.08</v>
      </c>
      <c r="G25" s="18">
        <v>17167.89</v>
      </c>
      <c r="H25" s="18">
        <f>147.95+6255.24</f>
        <v>6403.19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612293</v>
      </c>
      <c r="G29" s="18"/>
      <c r="H29" s="18">
        <f>3195+5624.77</f>
        <v>8819.77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1073065.83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16174.4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1676767.9000000001</v>
      </c>
      <c r="G33" s="41">
        <f>SUM(G23:G32)</f>
        <v>5735.33</v>
      </c>
      <c r="H33" s="41">
        <f>SUM(H23:H32)</f>
        <v>358353.93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0.01</v>
      </c>
      <c r="H41" s="18">
        <v>-358353.93</v>
      </c>
      <c r="I41" s="18">
        <v>146877.72</v>
      </c>
      <c r="J41" s="13">
        <f>SUM(I449)</f>
        <v>1017440.64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2289401.38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2289401.38</v>
      </c>
      <c r="G43" s="41">
        <f>SUM(G35:G42)</f>
        <v>0.01</v>
      </c>
      <c r="H43" s="41">
        <f>SUM(H35:H42)</f>
        <v>-358353.93</v>
      </c>
      <c r="I43" s="41">
        <f>SUM(I35:I42)</f>
        <v>146877.72</v>
      </c>
      <c r="J43" s="41">
        <f>SUM(J35:J42)</f>
        <v>1017440.64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3966169.2800000003</v>
      </c>
      <c r="G44" s="41">
        <f>G43+G33</f>
        <v>5735.34</v>
      </c>
      <c r="H44" s="41">
        <f>H43+H33</f>
        <v>0</v>
      </c>
      <c r="I44" s="41">
        <f>I43+I33</f>
        <v>146877.72</v>
      </c>
      <c r="J44" s="41">
        <f>J43+J33</f>
        <v>1017440.64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26434797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26434797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24855.62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2825</v>
      </c>
      <c r="G56" s="24" t="s">
        <v>312</v>
      </c>
      <c r="H56" s="18">
        <v>150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>
        <v>9420.7999999999993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210000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237680.62</v>
      </c>
      <c r="G71" s="45" t="s">
        <v>312</v>
      </c>
      <c r="H71" s="41">
        <f>SUM(H55:H70)</f>
        <v>9570.7999999999993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28588.25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28588.25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28617.09</v>
      </c>
      <c r="G88" s="18"/>
      <c r="H88" s="18"/>
      <c r="I88" s="18">
        <v>604.14</v>
      </c>
      <c r="J88" s="18">
        <v>3775.97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450765.37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22727.5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13945.73</v>
      </c>
      <c r="I94" s="18"/>
      <c r="J94" s="18">
        <v>12421</v>
      </c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31703.48</v>
      </c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24091.16</v>
      </c>
      <c r="G102" s="18">
        <v>305.95</v>
      </c>
      <c r="H102" s="18">
        <v>76.56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107139.23</v>
      </c>
      <c r="G103" s="41">
        <f>SUM(G88:G102)</f>
        <v>451071.32</v>
      </c>
      <c r="H103" s="41">
        <f>SUM(H88:H102)</f>
        <v>14022.289999999999</v>
      </c>
      <c r="I103" s="41">
        <f>SUM(I88:I102)</f>
        <v>604.14</v>
      </c>
      <c r="J103" s="41">
        <f>SUM(J88:J102)</f>
        <v>16196.97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26808205.100000001</v>
      </c>
      <c r="G104" s="41">
        <f>G52+G103</f>
        <v>451071.32</v>
      </c>
      <c r="H104" s="41">
        <f>H52+H71+H86+H103</f>
        <v>23593.089999999997</v>
      </c>
      <c r="I104" s="41">
        <f>I52+I103</f>
        <v>604.14</v>
      </c>
      <c r="J104" s="41">
        <f>J52+J103</f>
        <v>16196.97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3581246.51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3317037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1374014.49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8272298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687618.24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247273.57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5023.3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6507.89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>
        <v>12690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20</v>
      </c>
      <c r="G127" s="18"/>
      <c r="H127" s="18">
        <v>4100</v>
      </c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939935.1100000001</v>
      </c>
      <c r="G128" s="41">
        <f>SUM(G115:G127)</f>
        <v>6507.89</v>
      </c>
      <c r="H128" s="41">
        <f>SUM(H115:H127)</f>
        <v>16790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9212233.1099999994</v>
      </c>
      <c r="G132" s="41">
        <f>G113+SUM(G128:G129)</f>
        <v>6507.89</v>
      </c>
      <c r="H132" s="41">
        <f>H113+SUM(H128:H131)</f>
        <v>16790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106247.29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224560.27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75936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579534.97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225462.75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225462.75</v>
      </c>
      <c r="G154" s="41">
        <f>SUM(G142:G153)</f>
        <v>75936</v>
      </c>
      <c r="H154" s="41">
        <f>SUM(H142:H153)</f>
        <v>910342.53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9690</v>
      </c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235152.75</v>
      </c>
      <c r="G161" s="41">
        <f>G139+G154+SUM(G155:G160)</f>
        <v>75936</v>
      </c>
      <c r="H161" s="41">
        <f>H139+H154+SUM(H155:H160)</f>
        <v>910342.53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79997.03</v>
      </c>
      <c r="H171" s="18"/>
      <c r="I171" s="18"/>
      <c r="J171" s="18">
        <v>50000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3104.27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3104.27</v>
      </c>
      <c r="G175" s="41">
        <f>SUM(G171:G174)</f>
        <v>79997.03</v>
      </c>
      <c r="H175" s="41">
        <f>SUM(H171:H174)</f>
        <v>0</v>
      </c>
      <c r="I175" s="41">
        <f>SUM(I171:I174)</f>
        <v>0</v>
      </c>
      <c r="J175" s="41">
        <f>SUM(J171:J174)</f>
        <v>50000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200</v>
      </c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3304.27</v>
      </c>
      <c r="G184" s="41">
        <f>G175+SUM(G180:G183)</f>
        <v>79997.03</v>
      </c>
      <c r="H184" s="41">
        <f>+H175+SUM(H180:H183)</f>
        <v>0</v>
      </c>
      <c r="I184" s="41">
        <f>I169+I175+SUM(I180:I183)</f>
        <v>0</v>
      </c>
      <c r="J184" s="41">
        <f>J175</f>
        <v>50000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36258895.230000004</v>
      </c>
      <c r="G185" s="47">
        <f>G104+G132+G161+G184</f>
        <v>613512.24</v>
      </c>
      <c r="H185" s="47">
        <f>H104+H132+H161+H184</f>
        <v>950725.62</v>
      </c>
      <c r="I185" s="47">
        <f>I104+I132+I161+I184</f>
        <v>604.14</v>
      </c>
      <c r="J185" s="47">
        <f>J104+J132+J184</f>
        <v>66196.97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3016633.49+61508.08</f>
        <v>3078141.5700000003</v>
      </c>
      <c r="G189" s="18">
        <f>1128882.61+28858.67</f>
        <v>1157741.28</v>
      </c>
      <c r="H189" s="18">
        <v>26573.94</v>
      </c>
      <c r="I189" s="18">
        <v>107885.06</v>
      </c>
      <c r="J189" s="18">
        <v>41993.81</v>
      </c>
      <c r="K189" s="18"/>
      <c r="L189" s="19">
        <f>SUM(F189:K189)</f>
        <v>4412335.66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1180826.05</v>
      </c>
      <c r="G190" s="18">
        <v>452134.74</v>
      </c>
      <c r="H190" s="18">
        <v>876376.43</v>
      </c>
      <c r="I190" s="18">
        <v>8036.31</v>
      </c>
      <c r="J190" s="18">
        <v>2354.4299999999998</v>
      </c>
      <c r="K190" s="18">
        <v>4542.34</v>
      </c>
      <c r="L190" s="19">
        <f>SUM(F190:K190)</f>
        <v>2524270.3000000003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47337.9</v>
      </c>
      <c r="G192" s="18">
        <v>5197.58</v>
      </c>
      <c r="H192" s="18">
        <v>51732.79</v>
      </c>
      <c r="I192" s="18">
        <v>418.34</v>
      </c>
      <c r="J192" s="18"/>
      <c r="K192" s="18"/>
      <c r="L192" s="19">
        <f>SUM(F192:K192)</f>
        <v>104686.61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466291.11</v>
      </c>
      <c r="G194" s="18">
        <v>210956.07</v>
      </c>
      <c r="H194" s="18">
        <f>6374.4+58349.01</f>
        <v>64723.41</v>
      </c>
      <c r="I194" s="18">
        <f>7475.7+14437.89</f>
        <v>21913.59</v>
      </c>
      <c r="J194" s="18">
        <f>2475.27+2004.98</f>
        <v>4480.25</v>
      </c>
      <c r="K194" s="18"/>
      <c r="L194" s="19">
        <f t="shared" ref="L194:L200" si="0">SUM(F194:K194)</f>
        <v>768364.42999999993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214543.81</v>
      </c>
      <c r="G195" s="18">
        <v>56270.559999999998</v>
      </c>
      <c r="H195" s="18">
        <v>31933.55</v>
      </c>
      <c r="I195" s="18">
        <v>38525.800000000003</v>
      </c>
      <c r="J195" s="18">
        <v>17725.59</v>
      </c>
      <c r="K195" s="18"/>
      <c r="L195" s="19">
        <f t="shared" si="0"/>
        <v>358999.31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174645.77</v>
      </c>
      <c r="G196" s="18">
        <v>127036.54</v>
      </c>
      <c r="H196" s="18">
        <v>80220.52</v>
      </c>
      <c r="I196" s="18">
        <v>7316.97</v>
      </c>
      <c r="J196" s="18">
        <v>621.88</v>
      </c>
      <c r="K196" s="18">
        <v>3742.28</v>
      </c>
      <c r="L196" s="19">
        <f t="shared" si="0"/>
        <v>393583.96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313708.62</v>
      </c>
      <c r="G197" s="18">
        <v>134372.82999999999</v>
      </c>
      <c r="H197" s="18">
        <v>5897.18</v>
      </c>
      <c r="I197" s="18">
        <v>12959.09</v>
      </c>
      <c r="J197" s="18"/>
      <c r="K197" s="18">
        <v>908.95</v>
      </c>
      <c r="L197" s="19">
        <f t="shared" si="0"/>
        <v>467846.67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56047.49</v>
      </c>
      <c r="G198" s="18">
        <v>35710.25</v>
      </c>
      <c r="H198" s="18">
        <v>33426.160000000003</v>
      </c>
      <c r="I198" s="18">
        <v>3327.58</v>
      </c>
      <c r="J198" s="18">
        <v>8104.76</v>
      </c>
      <c r="K198" s="18">
        <v>280.69</v>
      </c>
      <c r="L198" s="19">
        <f t="shared" si="0"/>
        <v>136896.93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297568.58</v>
      </c>
      <c r="G199" s="18">
        <v>181308.48</v>
      </c>
      <c r="H199" s="18">
        <v>545055.93000000005</v>
      </c>
      <c r="I199" s="18">
        <v>211219.75</v>
      </c>
      <c r="J199" s="18">
        <v>5855.32</v>
      </c>
      <c r="K199" s="18"/>
      <c r="L199" s="19">
        <f t="shared" si="0"/>
        <v>1241008.0600000003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183326.35</v>
      </c>
      <c r="G200" s="18">
        <v>147288.72</v>
      </c>
      <c r="H200" s="18">
        <v>59669.1</v>
      </c>
      <c r="I200" s="18">
        <v>46393.84</v>
      </c>
      <c r="J200" s="18">
        <v>16661.87</v>
      </c>
      <c r="K200" s="18">
        <v>356.27</v>
      </c>
      <c r="L200" s="19">
        <f t="shared" si="0"/>
        <v>453696.15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f>59164.28-58349.01</f>
        <v>815.2699999999968</v>
      </c>
      <c r="I201" s="18"/>
      <c r="J201" s="18">
        <f>2127.68-2004.98</f>
        <v>122.69999999999982</v>
      </c>
      <c r="K201" s="18">
        <v>1551.12</v>
      </c>
      <c r="L201" s="19">
        <f>SUM(F201:K201)</f>
        <v>2489.0899999999965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6012437.25</v>
      </c>
      <c r="G203" s="41">
        <f t="shared" si="1"/>
        <v>2508017.0500000003</v>
      </c>
      <c r="H203" s="41">
        <f t="shared" si="1"/>
        <v>1776424.2800000003</v>
      </c>
      <c r="I203" s="41">
        <f t="shared" si="1"/>
        <v>457996.32999999996</v>
      </c>
      <c r="J203" s="41">
        <f t="shared" si="1"/>
        <v>97920.61</v>
      </c>
      <c r="K203" s="41">
        <f t="shared" si="1"/>
        <v>11381.650000000001</v>
      </c>
      <c r="L203" s="41">
        <f t="shared" si="1"/>
        <v>10864177.170000002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3137186.63+72205.16</f>
        <v>3209391.79</v>
      </c>
      <c r="G207" s="18">
        <v>1389071.63</v>
      </c>
      <c r="H207" s="18">
        <v>32322.89</v>
      </c>
      <c r="I207" s="18">
        <v>75445.960000000006</v>
      </c>
      <c r="J207" s="18">
        <v>83887.5</v>
      </c>
      <c r="K207" s="18"/>
      <c r="L207" s="19">
        <f>SUM(F207:K207)</f>
        <v>4790119.7699999996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1252177.01</v>
      </c>
      <c r="G208" s="18">
        <v>604617.88</v>
      </c>
      <c r="H208" s="18">
        <v>105367.45</v>
      </c>
      <c r="I208" s="18">
        <v>5602.86</v>
      </c>
      <c r="J208" s="18">
        <v>6863.98</v>
      </c>
      <c r="K208" s="18">
        <v>6726.48</v>
      </c>
      <c r="L208" s="19">
        <f>SUM(F208:K208)</f>
        <v>1981355.6600000001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119145.06</v>
      </c>
      <c r="G210" s="18">
        <v>13978.56</v>
      </c>
      <c r="H210" s="18">
        <v>26388.06</v>
      </c>
      <c r="I210" s="18">
        <v>270.72000000000003</v>
      </c>
      <c r="J210" s="18"/>
      <c r="K210" s="18"/>
      <c r="L210" s="19">
        <f>SUM(F210:K210)</f>
        <v>159782.39999999999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571036.89</v>
      </c>
      <c r="G212" s="18">
        <f>209484.71+33872.21</f>
        <v>243356.91999999998</v>
      </c>
      <c r="H212" s="18">
        <f>16543.85+41462.21</f>
        <v>58006.06</v>
      </c>
      <c r="I212" s="18">
        <f>2997.18+11372.75</f>
        <v>14369.93</v>
      </c>
      <c r="J212" s="18">
        <v>2353.67</v>
      </c>
      <c r="K212" s="18"/>
      <c r="L212" s="19">
        <f t="shared" ref="L212:L218" si="2">SUM(F212:K212)</f>
        <v>889123.4700000002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192063.67</v>
      </c>
      <c r="G213" s="18">
        <v>68715.92</v>
      </c>
      <c r="H213" s="18">
        <v>35450.910000000003</v>
      </c>
      <c r="I213" s="18">
        <v>32270.43</v>
      </c>
      <c r="J213" s="18">
        <v>24697.919999999998</v>
      </c>
      <c r="K213" s="18"/>
      <c r="L213" s="19">
        <f t="shared" si="2"/>
        <v>353198.85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205192.88</v>
      </c>
      <c r="G214" s="18">
        <v>120824.4</v>
      </c>
      <c r="H214" s="18">
        <v>78529.56</v>
      </c>
      <c r="I214" s="18">
        <v>7295.38</v>
      </c>
      <c r="J214" s="18">
        <v>730.05</v>
      </c>
      <c r="K214" s="18">
        <v>3844.57</v>
      </c>
      <c r="L214" s="19">
        <f t="shared" si="2"/>
        <v>416416.84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271222.63</v>
      </c>
      <c r="G215" s="18">
        <v>147671.85999999999</v>
      </c>
      <c r="H215" s="18">
        <v>9175.4</v>
      </c>
      <c r="I215" s="18">
        <v>2255.59</v>
      </c>
      <c r="J215" s="18"/>
      <c r="K215" s="18">
        <v>139</v>
      </c>
      <c r="L215" s="19">
        <f t="shared" si="2"/>
        <v>430464.48000000004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65794.91</v>
      </c>
      <c r="G216" s="18">
        <v>32672.16</v>
      </c>
      <c r="H216" s="18">
        <v>31124.58</v>
      </c>
      <c r="I216" s="18">
        <v>3041.61</v>
      </c>
      <c r="J216" s="18">
        <v>7983.37</v>
      </c>
      <c r="K216" s="18">
        <v>256.8</v>
      </c>
      <c r="L216" s="19">
        <f t="shared" si="2"/>
        <v>140873.43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268064.26</v>
      </c>
      <c r="G217" s="18">
        <v>175773.33</v>
      </c>
      <c r="H217" s="18">
        <v>254952.88</v>
      </c>
      <c r="I217" s="18">
        <v>174805.51</v>
      </c>
      <c r="J217" s="18">
        <v>1224.5</v>
      </c>
      <c r="K217" s="18"/>
      <c r="L217" s="19">
        <f t="shared" si="2"/>
        <v>874820.48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181142.09</v>
      </c>
      <c r="G218" s="18">
        <v>159620.32999999999</v>
      </c>
      <c r="H218" s="18">
        <v>68358.710000000006</v>
      </c>
      <c r="I218" s="18">
        <v>54483.79</v>
      </c>
      <c r="J218" s="18">
        <v>19559.599999999999</v>
      </c>
      <c r="K218" s="18">
        <v>418.23</v>
      </c>
      <c r="L218" s="19">
        <f t="shared" si="2"/>
        <v>483582.74999999994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>
        <f>33877.61-33872.21</f>
        <v>5.4000000000014552</v>
      </c>
      <c r="H219" s="18">
        <f>42213.22-41462.21</f>
        <v>751.01000000000204</v>
      </c>
      <c r="I219" s="18"/>
      <c r="J219" s="18">
        <f>2497.72-2353.67</f>
        <v>144.04999999999973</v>
      </c>
      <c r="K219" s="18">
        <v>1820.88</v>
      </c>
      <c r="L219" s="19">
        <f>SUM(F219:K219)</f>
        <v>2721.3400000000033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6335231.1899999985</v>
      </c>
      <c r="G221" s="41">
        <f>SUM(G207:G220)</f>
        <v>2956308.3899999997</v>
      </c>
      <c r="H221" s="41">
        <f>SUM(H207:H220)</f>
        <v>700427.51</v>
      </c>
      <c r="I221" s="41">
        <f>SUM(I207:I220)</f>
        <v>369841.77999999997</v>
      </c>
      <c r="J221" s="41">
        <f>SUM(J207:J220)</f>
        <v>147444.63999999998</v>
      </c>
      <c r="K221" s="41">
        <f t="shared" si="3"/>
        <v>13205.96</v>
      </c>
      <c r="L221" s="41">
        <f t="shared" si="3"/>
        <v>10522459.470000001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3012565.41+133713.26</f>
        <v>3146278.67</v>
      </c>
      <c r="G225" s="18">
        <v>1007743.97</v>
      </c>
      <c r="H225" s="18">
        <v>29419.200000000001</v>
      </c>
      <c r="I225" s="18">
        <v>90260.96</v>
      </c>
      <c r="J225" s="18">
        <f>91824.61+4358.66</f>
        <v>96183.27</v>
      </c>
      <c r="K225" s="18">
        <v>170.75</v>
      </c>
      <c r="L225" s="19">
        <f>SUM(F225:K225)</f>
        <v>4370056.8199999994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994198.26</v>
      </c>
      <c r="G226" s="18">
        <v>324464.74</v>
      </c>
      <c r="H226" s="18">
        <v>298079.21000000002</v>
      </c>
      <c r="I226" s="18">
        <v>4554.1000000000004</v>
      </c>
      <c r="J226" s="18">
        <v>9621.67</v>
      </c>
      <c r="K226" s="18">
        <v>2242.17</v>
      </c>
      <c r="L226" s="19">
        <f>SUM(F226:K226)</f>
        <v>1633160.15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23555.24</v>
      </c>
      <c r="I227" s="18"/>
      <c r="J227" s="18"/>
      <c r="K227" s="18"/>
      <c r="L227" s="19">
        <f>SUM(F227:K227)</f>
        <v>23555.24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272963.53999999998</v>
      </c>
      <c r="G228" s="18">
        <v>50630.07</v>
      </c>
      <c r="H228" s="18">
        <v>36224.720000000001</v>
      </c>
      <c r="I228" s="18">
        <v>76769.14</v>
      </c>
      <c r="J228" s="18">
        <v>436.98</v>
      </c>
      <c r="K228" s="18">
        <v>12213</v>
      </c>
      <c r="L228" s="19">
        <f>SUM(F228:K228)</f>
        <v>449237.44999999995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458147.29</v>
      </c>
      <c r="G230" s="18">
        <f>144588.41+62726.33</f>
        <v>207314.74</v>
      </c>
      <c r="H230" s="18">
        <f>42599.33+54819.59</f>
        <v>97418.92</v>
      </c>
      <c r="I230" s="18">
        <f>5326.05+21060.67</f>
        <v>26386.719999999998</v>
      </c>
      <c r="J230" s="18">
        <v>273.89999999999998</v>
      </c>
      <c r="K230" s="18"/>
      <c r="L230" s="19">
        <f t="shared" ref="L230:L236" si="4">SUM(F230:K230)</f>
        <v>789541.57000000007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143530.60999999999</v>
      </c>
      <c r="G231" s="18">
        <v>38354.35</v>
      </c>
      <c r="H231" s="18">
        <v>40754.42</v>
      </c>
      <c r="I231" s="18">
        <v>29542.5</v>
      </c>
      <c r="J231" s="18">
        <v>18258.14</v>
      </c>
      <c r="K231" s="18"/>
      <c r="L231" s="19">
        <f t="shared" si="4"/>
        <v>270440.02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305732.25</v>
      </c>
      <c r="G232" s="18">
        <v>128329.79</v>
      </c>
      <c r="H232" s="18">
        <v>141660.49</v>
      </c>
      <c r="I232" s="18">
        <v>10000.07</v>
      </c>
      <c r="J232" s="18">
        <v>1351.94</v>
      </c>
      <c r="K232" s="18">
        <v>4728.82</v>
      </c>
      <c r="L232" s="19">
        <f t="shared" si="4"/>
        <v>591803.35999999987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353835.1</v>
      </c>
      <c r="G233" s="18">
        <v>114582.84</v>
      </c>
      <c r="H233" s="18">
        <v>13349.66</v>
      </c>
      <c r="I233" s="18">
        <v>26607.4</v>
      </c>
      <c r="J233" s="18">
        <v>640.58000000000004</v>
      </c>
      <c r="K233" s="18">
        <v>5354</v>
      </c>
      <c r="L233" s="19">
        <f t="shared" si="4"/>
        <v>514369.57999999996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121842.43</v>
      </c>
      <c r="G234" s="18">
        <v>35305.870000000003</v>
      </c>
      <c r="H234" s="18">
        <v>33253.519999999997</v>
      </c>
      <c r="I234" s="18">
        <v>3286.04</v>
      </c>
      <c r="J234" s="18">
        <v>10418.5</v>
      </c>
      <c r="K234" s="18">
        <v>277.51</v>
      </c>
      <c r="L234" s="19">
        <f t="shared" si="4"/>
        <v>204383.87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368984.59</v>
      </c>
      <c r="G235" s="18">
        <v>164184.03</v>
      </c>
      <c r="H235" s="18">
        <v>519430.94</v>
      </c>
      <c r="I235" s="18">
        <v>340001.04</v>
      </c>
      <c r="J235" s="18">
        <v>1343</v>
      </c>
      <c r="K235" s="18"/>
      <c r="L235" s="19">
        <f t="shared" si="4"/>
        <v>1393943.6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400832.15</v>
      </c>
      <c r="G236" s="18">
        <v>303873.57</v>
      </c>
      <c r="H236" s="18">
        <v>126663.71</v>
      </c>
      <c r="I236" s="18">
        <v>100602.97</v>
      </c>
      <c r="J236" s="18">
        <v>36221.480000000003</v>
      </c>
      <c r="K236" s="18">
        <v>774.5</v>
      </c>
      <c r="L236" s="19">
        <f t="shared" si="4"/>
        <v>968968.37999999989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>
        <f>62736.33-62726.33</f>
        <v>10</v>
      </c>
      <c r="H237" s="18">
        <f>55746.31-54819.59</f>
        <v>926.72000000000116</v>
      </c>
      <c r="I237" s="18"/>
      <c r="J237" s="18">
        <f>4625.41-4358.66</f>
        <v>266.75</v>
      </c>
      <c r="K237" s="18">
        <v>3372</v>
      </c>
      <c r="L237" s="19">
        <f>SUM(F237:K237)</f>
        <v>4575.4700000000012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6566344.8899999997</v>
      </c>
      <c r="G239" s="41">
        <f t="shared" si="5"/>
        <v>2374793.9700000002</v>
      </c>
      <c r="H239" s="41">
        <f t="shared" si="5"/>
        <v>1360736.75</v>
      </c>
      <c r="I239" s="41">
        <f t="shared" si="5"/>
        <v>708010.94</v>
      </c>
      <c r="J239" s="41">
        <f t="shared" si="5"/>
        <v>175016.21</v>
      </c>
      <c r="K239" s="41">
        <f t="shared" si="5"/>
        <v>29132.749999999996</v>
      </c>
      <c r="L239" s="41">
        <f t="shared" si="5"/>
        <v>11214035.51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>
        <v>34490.71</v>
      </c>
      <c r="K247" s="18"/>
      <c r="L247" s="19">
        <f t="shared" si="6"/>
        <v>34490.71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34490.71</v>
      </c>
      <c r="K248" s="41">
        <f t="shared" si="7"/>
        <v>0</v>
      </c>
      <c r="L248" s="41">
        <f>SUM(F248:K248)</f>
        <v>34490.71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18914013.329999998</v>
      </c>
      <c r="G249" s="41">
        <f t="shared" si="8"/>
        <v>7839119.4100000001</v>
      </c>
      <c r="H249" s="41">
        <f t="shared" si="8"/>
        <v>3837588.54</v>
      </c>
      <c r="I249" s="41">
        <f t="shared" si="8"/>
        <v>1535849.0499999998</v>
      </c>
      <c r="J249" s="41">
        <f t="shared" si="8"/>
        <v>454872.17</v>
      </c>
      <c r="K249" s="41">
        <f t="shared" si="8"/>
        <v>53720.36</v>
      </c>
      <c r="L249" s="41">
        <f t="shared" si="8"/>
        <v>32635162.859999999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1485000</v>
      </c>
      <c r="L252" s="19">
        <f>SUM(F252:K252)</f>
        <v>1485000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655402.68999999994</v>
      </c>
      <c r="L253" s="19">
        <f>SUM(F253:K253)</f>
        <v>655402.68999999994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79997.03</v>
      </c>
      <c r="L255" s="19">
        <f>SUM(F255:K255)</f>
        <v>79997.03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50000</v>
      </c>
      <c r="L258" s="19">
        <f t="shared" si="9"/>
        <v>50000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2270399.7199999997</v>
      </c>
      <c r="L262" s="41">
        <f t="shared" si="9"/>
        <v>2270399.7199999997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18914013.329999998</v>
      </c>
      <c r="G263" s="42">
        <f t="shared" si="11"/>
        <v>7839119.4100000001</v>
      </c>
      <c r="H263" s="42">
        <f t="shared" si="11"/>
        <v>3837588.54</v>
      </c>
      <c r="I263" s="42">
        <f t="shared" si="11"/>
        <v>1535849.0499999998</v>
      </c>
      <c r="J263" s="42">
        <f t="shared" si="11"/>
        <v>454872.17</v>
      </c>
      <c r="K263" s="42">
        <f t="shared" si="11"/>
        <v>2324120.0799999996</v>
      </c>
      <c r="L263" s="42">
        <f t="shared" si="11"/>
        <v>34905562.579999998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251677.58</v>
      </c>
      <c r="G268" s="18">
        <v>79749.570000000007</v>
      </c>
      <c r="H268" s="18">
        <v>9387.2900000000009</v>
      </c>
      <c r="I268" s="18">
        <v>7134.62</v>
      </c>
      <c r="J268" s="18">
        <v>29638.21</v>
      </c>
      <c r="K268" s="18"/>
      <c r="L268" s="19">
        <f>SUM(F268:K268)</f>
        <v>377587.27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70666.600000000006</v>
      </c>
      <c r="G269" s="18">
        <v>7699.28</v>
      </c>
      <c r="H269" s="18">
        <v>29507.11</v>
      </c>
      <c r="I269" s="18">
        <v>1164.6600000000001</v>
      </c>
      <c r="J269" s="18">
        <v>1552.6</v>
      </c>
      <c r="K269" s="18"/>
      <c r="L269" s="19">
        <f>SUM(F269:K269)</f>
        <v>110590.25000000001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884.92</v>
      </c>
      <c r="I273" s="18"/>
      <c r="J273" s="18"/>
      <c r="K273" s="18"/>
      <c r="L273" s="19">
        <f t="shared" ref="L273:L279" si="12">SUM(F273:K273)</f>
        <v>884.92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1247.53</v>
      </c>
      <c r="I274" s="18">
        <v>78.42</v>
      </c>
      <c r="J274" s="18"/>
      <c r="K274" s="18">
        <v>11.5</v>
      </c>
      <c r="L274" s="19">
        <f t="shared" si="12"/>
        <v>1337.45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2760</v>
      </c>
      <c r="G280" s="18">
        <v>413.02</v>
      </c>
      <c r="H280" s="18"/>
      <c r="I280" s="18"/>
      <c r="J280" s="18"/>
      <c r="K280" s="18"/>
      <c r="L280" s="19">
        <f>SUM(F280:K280)</f>
        <v>3173.02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325104.18</v>
      </c>
      <c r="G282" s="42">
        <f t="shared" si="13"/>
        <v>87861.87000000001</v>
      </c>
      <c r="H282" s="42">
        <f t="shared" si="13"/>
        <v>41026.85</v>
      </c>
      <c r="I282" s="42">
        <f t="shared" si="13"/>
        <v>8377.7000000000007</v>
      </c>
      <c r="J282" s="42">
        <f t="shared" si="13"/>
        <v>31190.809999999998</v>
      </c>
      <c r="K282" s="42">
        <f t="shared" si="13"/>
        <v>11.5</v>
      </c>
      <c r="L282" s="41">
        <f t="shared" si="13"/>
        <v>493572.91000000003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>
        <v>52.54</v>
      </c>
      <c r="H287" s="18">
        <v>498.67</v>
      </c>
      <c r="I287" s="18">
        <v>1064.4000000000001</v>
      </c>
      <c r="J287" s="18">
        <v>47448.46</v>
      </c>
      <c r="K287" s="18"/>
      <c r="L287" s="19">
        <f>SUM(F287:K287)</f>
        <v>49064.07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>
        <v>353.67</v>
      </c>
      <c r="H288" s="18">
        <v>11074.35</v>
      </c>
      <c r="I288" s="18">
        <v>105.52</v>
      </c>
      <c r="J288" s="18"/>
      <c r="K288" s="18"/>
      <c r="L288" s="19">
        <f>SUM(F288:K288)</f>
        <v>11533.54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v>1038.83</v>
      </c>
      <c r="I292" s="18"/>
      <c r="J292" s="18"/>
      <c r="K292" s="18"/>
      <c r="L292" s="19">
        <f t="shared" ref="L292:L298" si="14">SUM(F292:K292)</f>
        <v>1038.83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>
        <v>4940.78</v>
      </c>
      <c r="I293" s="18">
        <v>508.59</v>
      </c>
      <c r="J293" s="18"/>
      <c r="K293" s="18">
        <v>13.5</v>
      </c>
      <c r="L293" s="19">
        <f t="shared" si="14"/>
        <v>5462.87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>
        <v>3240</v>
      </c>
      <c r="G299" s="18">
        <v>484.86</v>
      </c>
      <c r="H299" s="18"/>
      <c r="I299" s="18"/>
      <c r="J299" s="18"/>
      <c r="K299" s="18"/>
      <c r="L299" s="19">
        <f>SUM(F299:K299)</f>
        <v>3724.86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3240</v>
      </c>
      <c r="G301" s="42">
        <f t="shared" si="15"/>
        <v>891.07</v>
      </c>
      <c r="H301" s="42">
        <f t="shared" si="15"/>
        <v>17552.63</v>
      </c>
      <c r="I301" s="42">
        <f t="shared" si="15"/>
        <v>1678.51</v>
      </c>
      <c r="J301" s="42">
        <f t="shared" si="15"/>
        <v>47448.46</v>
      </c>
      <c r="K301" s="42">
        <f t="shared" si="15"/>
        <v>13.5</v>
      </c>
      <c r="L301" s="41">
        <f t="shared" si="15"/>
        <v>70824.17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>
        <v>97.31</v>
      </c>
      <c r="H306" s="18">
        <v>923.46</v>
      </c>
      <c r="I306" s="18">
        <v>1971.11</v>
      </c>
      <c r="J306" s="18">
        <v>47244.18</v>
      </c>
      <c r="K306" s="18"/>
      <c r="L306" s="19">
        <f>SUM(F306:K306)</f>
        <v>50236.06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3454.98</v>
      </c>
      <c r="G307" s="18">
        <v>9015.74</v>
      </c>
      <c r="H307" s="18">
        <v>21810.21</v>
      </c>
      <c r="I307" s="18">
        <v>195.42</v>
      </c>
      <c r="J307" s="18"/>
      <c r="K307" s="18"/>
      <c r="L307" s="19">
        <f>SUM(F307:K307)</f>
        <v>34476.35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>
        <v>20874</v>
      </c>
      <c r="I309" s="18"/>
      <c r="J309" s="18"/>
      <c r="K309" s="18"/>
      <c r="L309" s="19">
        <f>SUM(F309:K309)</f>
        <v>20874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185527</v>
      </c>
      <c r="G311" s="18">
        <v>77235.47</v>
      </c>
      <c r="H311" s="18">
        <v>78146.55</v>
      </c>
      <c r="I311" s="18"/>
      <c r="J311" s="18"/>
      <c r="K311" s="18"/>
      <c r="L311" s="19">
        <f t="shared" ref="L311:L317" si="16">SUM(F311:K311)</f>
        <v>340909.01999999996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>
        <v>2712.02</v>
      </c>
      <c r="I312" s="18">
        <v>170.5</v>
      </c>
      <c r="J312" s="18"/>
      <c r="K312" s="18">
        <v>25</v>
      </c>
      <c r="L312" s="19">
        <f t="shared" si="16"/>
        <v>2907.52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>
        <v>6000</v>
      </c>
      <c r="G318" s="18">
        <v>897.88</v>
      </c>
      <c r="H318" s="18"/>
      <c r="I318" s="18"/>
      <c r="J318" s="18"/>
      <c r="K318" s="18"/>
      <c r="L318" s="19">
        <f>SUM(F318:K318)</f>
        <v>6897.88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194981.98</v>
      </c>
      <c r="G320" s="42">
        <f t="shared" si="17"/>
        <v>87246.400000000009</v>
      </c>
      <c r="H320" s="42">
        <f t="shared" si="17"/>
        <v>124466.24000000001</v>
      </c>
      <c r="I320" s="42">
        <f t="shared" si="17"/>
        <v>2337.0299999999997</v>
      </c>
      <c r="J320" s="42">
        <f t="shared" si="17"/>
        <v>47244.18</v>
      </c>
      <c r="K320" s="42">
        <f t="shared" si="17"/>
        <v>25</v>
      </c>
      <c r="L320" s="41">
        <f t="shared" si="17"/>
        <v>456300.82999999996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523326.16000000003</v>
      </c>
      <c r="G330" s="41">
        <f t="shared" si="20"/>
        <v>175999.34000000003</v>
      </c>
      <c r="H330" s="41">
        <f t="shared" si="20"/>
        <v>183045.72</v>
      </c>
      <c r="I330" s="41">
        <f t="shared" si="20"/>
        <v>12393.240000000002</v>
      </c>
      <c r="J330" s="41">
        <f t="shared" si="20"/>
        <v>125883.44999999998</v>
      </c>
      <c r="K330" s="41">
        <f t="shared" si="20"/>
        <v>50</v>
      </c>
      <c r="L330" s="41">
        <f t="shared" si="20"/>
        <v>1020697.91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3104.27</v>
      </c>
      <c r="L336" s="19">
        <f t="shared" ref="L336:L342" si="21">SUM(F336:K336)</f>
        <v>3104.27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3104.27</v>
      </c>
      <c r="L343" s="41">
        <f>SUM(L333:L342)</f>
        <v>3104.27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523326.16000000003</v>
      </c>
      <c r="G344" s="41">
        <f>G330</f>
        <v>175999.34000000003</v>
      </c>
      <c r="H344" s="41">
        <f>H330</f>
        <v>183045.72</v>
      </c>
      <c r="I344" s="41">
        <f>I330</f>
        <v>12393.240000000002</v>
      </c>
      <c r="J344" s="41">
        <f>J330</f>
        <v>125883.44999999998</v>
      </c>
      <c r="K344" s="47">
        <f>K330+K343</f>
        <v>3154.27</v>
      </c>
      <c r="L344" s="41">
        <f>L330+L343</f>
        <v>1023802.18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102409.89</v>
      </c>
      <c r="G350" s="18">
        <v>16751.77</v>
      </c>
      <c r="H350" s="18">
        <v>5074.4399999999996</v>
      </c>
      <c r="I350" s="18">
        <v>60161.72</v>
      </c>
      <c r="J350" s="18"/>
      <c r="K350" s="18">
        <v>413</v>
      </c>
      <c r="L350" s="13">
        <f>SUM(F350:K350)</f>
        <v>184810.82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93697.31</v>
      </c>
      <c r="G351" s="18">
        <v>15326.61</v>
      </c>
      <c r="H351" s="18">
        <v>6323.82</v>
      </c>
      <c r="I351" s="18">
        <v>66114.86</v>
      </c>
      <c r="J351" s="18"/>
      <c r="K351" s="18">
        <v>840.25</v>
      </c>
      <c r="L351" s="19">
        <f>SUM(F351:K351)</f>
        <v>182302.84999999998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101250.19</v>
      </c>
      <c r="G352" s="18">
        <v>16562.07</v>
      </c>
      <c r="H352" s="18">
        <v>4087.13</v>
      </c>
      <c r="I352" s="18">
        <v>124174.18</v>
      </c>
      <c r="J352" s="18"/>
      <c r="K352" s="18">
        <v>325</v>
      </c>
      <c r="L352" s="19">
        <f>SUM(F352:K352)</f>
        <v>246398.57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297357.39</v>
      </c>
      <c r="G354" s="47">
        <f t="shared" si="22"/>
        <v>48640.45</v>
      </c>
      <c r="H354" s="47">
        <f t="shared" si="22"/>
        <v>15485.39</v>
      </c>
      <c r="I354" s="47">
        <f t="shared" si="22"/>
        <v>250450.76</v>
      </c>
      <c r="J354" s="47">
        <f t="shared" si="22"/>
        <v>0</v>
      </c>
      <c r="K354" s="47">
        <f t="shared" si="22"/>
        <v>1578.25</v>
      </c>
      <c r="L354" s="47">
        <f t="shared" si="22"/>
        <v>613512.24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54691.42</v>
      </c>
      <c r="G359" s="18">
        <v>61065.55</v>
      </c>
      <c r="H359" s="18">
        <v>118366.65</v>
      </c>
      <c r="I359" s="56">
        <f>SUM(F359:H359)</f>
        <v>234123.62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5464.61</v>
      </c>
      <c r="G360" s="63">
        <v>5055.63</v>
      </c>
      <c r="H360" s="63">
        <v>5806.88</v>
      </c>
      <c r="I360" s="56">
        <f>SUM(F360:H360)</f>
        <v>16327.119999999999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60156.03</v>
      </c>
      <c r="G361" s="47">
        <f>SUM(G359:G360)</f>
        <v>66121.180000000008</v>
      </c>
      <c r="H361" s="47">
        <f>SUM(H359:H360)</f>
        <v>124173.53</v>
      </c>
      <c r="I361" s="47">
        <f>SUM(I359:I360)</f>
        <v>250450.74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>
        <v>259963.49</v>
      </c>
      <c r="I370" s="18"/>
      <c r="J370" s="18"/>
      <c r="K370" s="18"/>
      <c r="L370" s="13">
        <f t="shared" si="23"/>
        <v>259963.49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259963.49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259963.49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377.31</v>
      </c>
      <c r="I380" s="18"/>
      <c r="J380" s="24" t="s">
        <v>312</v>
      </c>
      <c r="K380" s="24" t="s">
        <v>312</v>
      </c>
      <c r="L380" s="56">
        <f t="shared" si="25"/>
        <v>377.31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287.12</v>
      </c>
      <c r="I381" s="18"/>
      <c r="J381" s="24" t="s">
        <v>312</v>
      </c>
      <c r="K381" s="24" t="s">
        <v>312</v>
      </c>
      <c r="L381" s="56">
        <f t="shared" si="25"/>
        <v>287.12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664.43000000000006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664.43000000000006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50000</v>
      </c>
      <c r="H389" s="18">
        <v>1252.8499999999999</v>
      </c>
      <c r="I389" s="18"/>
      <c r="J389" s="24" t="s">
        <v>312</v>
      </c>
      <c r="K389" s="24" t="s">
        <v>312</v>
      </c>
      <c r="L389" s="56">
        <f t="shared" si="26"/>
        <v>51252.85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1858.69</v>
      </c>
      <c r="I392" s="18">
        <v>12421</v>
      </c>
      <c r="J392" s="24" t="s">
        <v>312</v>
      </c>
      <c r="K392" s="24" t="s">
        <v>312</v>
      </c>
      <c r="L392" s="56">
        <f t="shared" si="26"/>
        <v>14279.69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50000</v>
      </c>
      <c r="H393" s="47">
        <f>SUM(H387:H392)</f>
        <v>3111.54</v>
      </c>
      <c r="I393" s="47">
        <f>SUM(I387:I392)</f>
        <v>12421</v>
      </c>
      <c r="J393" s="45" t="s">
        <v>312</v>
      </c>
      <c r="K393" s="45" t="s">
        <v>312</v>
      </c>
      <c r="L393" s="47">
        <f>SUM(L387:L392)</f>
        <v>65532.54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50000</v>
      </c>
      <c r="H400" s="47">
        <f>H385+H393+H399</f>
        <v>3775.9700000000003</v>
      </c>
      <c r="I400" s="47">
        <f>I385+I393+I399</f>
        <v>12421</v>
      </c>
      <c r="J400" s="24" t="s">
        <v>312</v>
      </c>
      <c r="K400" s="24" t="s">
        <v>312</v>
      </c>
      <c r="L400" s="47">
        <f>L385+L393+L399</f>
        <v>66196.97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>
        <v>11900</v>
      </c>
      <c r="I418" s="18"/>
      <c r="J418" s="18"/>
      <c r="K418" s="18"/>
      <c r="L418" s="56">
        <f t="shared" si="29"/>
        <v>11900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11900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11900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11900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11900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60217.72</v>
      </c>
      <c r="H432" s="18"/>
      <c r="I432" s="56">
        <f t="shared" si="33"/>
        <v>60217.72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172738.58</v>
      </c>
      <c r="G434" s="18">
        <v>784484.34</v>
      </c>
      <c r="H434" s="18"/>
      <c r="I434" s="56">
        <f t="shared" si="33"/>
        <v>957222.91999999993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172738.58</v>
      </c>
      <c r="G438" s="13">
        <f>SUM(G431:G437)</f>
        <v>844702.05999999994</v>
      </c>
      <c r="H438" s="13">
        <f>SUM(H431:H437)</f>
        <v>0</v>
      </c>
      <c r="I438" s="13">
        <f>SUM(I431:I437)</f>
        <v>1017440.6399999999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172738.58</v>
      </c>
      <c r="G449" s="18">
        <v>844702.06</v>
      </c>
      <c r="H449" s="18"/>
      <c r="I449" s="56">
        <f>SUM(F449:H449)</f>
        <v>1017440.64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172738.58</v>
      </c>
      <c r="G450" s="83">
        <f>SUM(G446:G449)</f>
        <v>844702.06</v>
      </c>
      <c r="H450" s="83">
        <f>SUM(H446:H449)</f>
        <v>0</v>
      </c>
      <c r="I450" s="83">
        <f>SUM(I446:I449)</f>
        <v>1017440.64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172738.58</v>
      </c>
      <c r="G451" s="42">
        <f>G444+G450</f>
        <v>844702.06</v>
      </c>
      <c r="H451" s="42">
        <f>H444+H450</f>
        <v>0</v>
      </c>
      <c r="I451" s="42">
        <f>I444+I450</f>
        <v>1017440.64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644066.97</v>
      </c>
      <c r="G455" s="18">
        <v>0.01</v>
      </c>
      <c r="H455" s="18">
        <v>-285936.8</v>
      </c>
      <c r="I455" s="18">
        <v>-30428.33</v>
      </c>
      <c r="J455" s="18">
        <v>963143.67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36258895.229999997</v>
      </c>
      <c r="G458" s="18">
        <v>613512.24</v>
      </c>
      <c r="H458" s="18">
        <v>950725.62</v>
      </c>
      <c r="I458" s="18">
        <v>604.14</v>
      </c>
      <c r="J458" s="18">
        <v>66196.97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v>318435.77</v>
      </c>
      <c r="G459" s="18"/>
      <c r="H459" s="18">
        <v>659.43</v>
      </c>
      <c r="I459" s="18">
        <f>3051.61+433613.79</f>
        <v>436665.39999999997</v>
      </c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36577331</v>
      </c>
      <c r="G460" s="53">
        <f>SUM(G458:G459)</f>
        <v>613512.24</v>
      </c>
      <c r="H460" s="53">
        <f>SUM(H458:H459)</f>
        <v>951385.05</v>
      </c>
      <c r="I460" s="53">
        <f>SUM(I458:I459)</f>
        <v>437269.54</v>
      </c>
      <c r="J460" s="53">
        <f>SUM(J458:J459)</f>
        <v>66196.97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34905562.579999998</v>
      </c>
      <c r="G462" s="18">
        <v>613512.24</v>
      </c>
      <c r="H462" s="18">
        <v>1023802.18</v>
      </c>
      <c r="I462" s="18">
        <v>259963.49</v>
      </c>
      <c r="J462" s="18">
        <v>11900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26434.01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34931996.589999996</v>
      </c>
      <c r="G464" s="53">
        <f>SUM(G462:G463)</f>
        <v>613512.24</v>
      </c>
      <c r="H464" s="53">
        <f>SUM(H462:H463)</f>
        <v>1023802.18</v>
      </c>
      <c r="I464" s="53">
        <f>SUM(I462:I463)</f>
        <v>259963.49</v>
      </c>
      <c r="J464" s="53">
        <f>SUM(J462:J463)</f>
        <v>11900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2289401.3800000027</v>
      </c>
      <c r="G466" s="53">
        <f>(G455+G460)- G464</f>
        <v>1.0000000009313226E-2</v>
      </c>
      <c r="H466" s="53">
        <f>(H455+H460)- H464</f>
        <v>-358353.93000000005</v>
      </c>
      <c r="I466" s="53">
        <f>(I455+I460)- I464</f>
        <v>146877.71999999997</v>
      </c>
      <c r="J466" s="53">
        <f>(J455+J460)- J464</f>
        <v>1017440.64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>
        <v>15</v>
      </c>
      <c r="H480" s="154">
        <v>15</v>
      </c>
      <c r="I480" s="154">
        <v>20</v>
      </c>
      <c r="J480" s="154">
        <v>20</v>
      </c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 t="s">
        <v>894</v>
      </c>
      <c r="H481" s="155" t="s">
        <v>894</v>
      </c>
      <c r="I481" s="155" t="s">
        <v>900</v>
      </c>
      <c r="J481" s="155" t="s">
        <v>898</v>
      </c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 t="s">
        <v>895</v>
      </c>
      <c r="H482" s="155" t="s">
        <v>896</v>
      </c>
      <c r="I482" s="155" t="s">
        <v>897</v>
      </c>
      <c r="J482" s="155" t="s">
        <v>899</v>
      </c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>
        <v>2605000</v>
      </c>
      <c r="H483" s="18">
        <v>2500000</v>
      </c>
      <c r="I483" s="18">
        <v>2300000</v>
      </c>
      <c r="J483" s="18">
        <v>20406711</v>
      </c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>
        <v>5.08</v>
      </c>
      <c r="H484" s="18">
        <v>5.26</v>
      </c>
      <c r="I484" s="18">
        <v>4.22</v>
      </c>
      <c r="J484" s="18">
        <v>4.09</v>
      </c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205">
        <v>330000</v>
      </c>
      <c r="H485" s="205">
        <v>400000</v>
      </c>
      <c r="I485" s="205">
        <v>1495000</v>
      </c>
      <c r="J485" s="205">
        <v>14280000</v>
      </c>
      <c r="K485" s="53">
        <f>SUM(F485:J485)</f>
        <v>16505000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>
        <v>0</v>
      </c>
      <c r="H486" s="18">
        <v>0</v>
      </c>
      <c r="I486" s="18">
        <v>0</v>
      </c>
      <c r="J486" s="18">
        <v>0</v>
      </c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>
        <v>175000</v>
      </c>
      <c r="H487" s="18">
        <v>175000</v>
      </c>
      <c r="I487" s="18">
        <v>115000</v>
      </c>
      <c r="J487" s="18">
        <v>1020000</v>
      </c>
      <c r="K487" s="53">
        <f t="shared" si="34"/>
        <v>1485000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>
        <f>G485-G487</f>
        <v>155000</v>
      </c>
      <c r="H488" s="205">
        <f>H485-H487</f>
        <v>225000</v>
      </c>
      <c r="I488" s="205">
        <f>I485-I487</f>
        <v>1380000</v>
      </c>
      <c r="J488" s="205">
        <f>J485-J487</f>
        <v>13260000</v>
      </c>
      <c r="K488" s="206">
        <f t="shared" si="34"/>
        <v>15020000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>
        <v>4185</v>
      </c>
      <c r="H489" s="18">
        <v>9013</v>
      </c>
      <c r="I489" s="18">
        <v>369265</v>
      </c>
      <c r="J489" s="18">
        <v>3708975</v>
      </c>
      <c r="K489" s="53">
        <f t="shared" si="34"/>
        <v>4091438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159185</v>
      </c>
      <c r="H490" s="42">
        <f>SUM(H488:H489)</f>
        <v>234013</v>
      </c>
      <c r="I490" s="42">
        <f>SUM(I488:I489)</f>
        <v>1749265</v>
      </c>
      <c r="J490" s="42">
        <f>SUM(J488:J489)</f>
        <v>16968975</v>
      </c>
      <c r="K490" s="42">
        <f t="shared" si="34"/>
        <v>19111438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>
        <v>155000</v>
      </c>
      <c r="H491" s="205">
        <v>175000</v>
      </c>
      <c r="I491" s="205">
        <v>115000</v>
      </c>
      <c r="J491" s="205">
        <v>1020000</v>
      </c>
      <c r="K491" s="206">
        <f t="shared" si="34"/>
        <v>1465000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>
        <v>4185</v>
      </c>
      <c r="H492" s="18">
        <v>7613</v>
      </c>
      <c r="I492" s="18">
        <v>57156</v>
      </c>
      <c r="J492" s="18">
        <v>522240</v>
      </c>
      <c r="K492" s="53">
        <f t="shared" si="34"/>
        <v>591194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159185</v>
      </c>
      <c r="H493" s="42">
        <f>SUM(H491:H492)</f>
        <v>182613</v>
      </c>
      <c r="I493" s="42">
        <f>SUM(I491:I492)</f>
        <v>172156</v>
      </c>
      <c r="J493" s="42">
        <f>SUM(J491:J492)</f>
        <v>1542240</v>
      </c>
      <c r="K493" s="42">
        <f t="shared" si="34"/>
        <v>2056194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1216053.71</v>
      </c>
      <c r="G511" s="18">
        <v>459641.89</v>
      </c>
      <c r="H511" s="18">
        <v>962640.80359999998</v>
      </c>
      <c r="I511" s="18">
        <v>11268.0314</v>
      </c>
      <c r="J511" s="18">
        <v>2354.4299999999998</v>
      </c>
      <c r="K511" s="18">
        <v>4542.34</v>
      </c>
      <c r="L511" s="88">
        <f>SUM(F511:K511)</f>
        <v>2656501.2050000001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1274020.32</v>
      </c>
      <c r="G512" s="18">
        <v>600975.67000000004</v>
      </c>
      <c r="H512" s="18">
        <v>132446.43280000001</v>
      </c>
      <c r="I512" s="18">
        <v>8825.637200000001</v>
      </c>
      <c r="J512" s="18">
        <v>6863.98</v>
      </c>
      <c r="K512" s="18">
        <v>6726.48</v>
      </c>
      <c r="L512" s="88">
        <f>SUM(F512:K512)</f>
        <v>2029858.5200000003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1077611.96</v>
      </c>
      <c r="G513" s="18">
        <v>342982.39</v>
      </c>
      <c r="H513" s="18">
        <v>317150.21360000002</v>
      </c>
      <c r="I513" s="18">
        <v>5894.4513999999999</v>
      </c>
      <c r="J513" s="18">
        <v>11174.27</v>
      </c>
      <c r="K513" s="18">
        <v>2242.17</v>
      </c>
      <c r="L513" s="88">
        <f>SUM(F513:K513)</f>
        <v>1757055.4549999998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3567685.99</v>
      </c>
      <c r="G514" s="108">
        <f t="shared" ref="G514:L514" si="35">SUM(G511:G513)</f>
        <v>1403599.9500000002</v>
      </c>
      <c r="H514" s="108">
        <f t="shared" si="35"/>
        <v>1412237.4500000002</v>
      </c>
      <c r="I514" s="108">
        <f t="shared" si="35"/>
        <v>25988.120000000003</v>
      </c>
      <c r="J514" s="108">
        <f t="shared" si="35"/>
        <v>20392.68</v>
      </c>
      <c r="K514" s="108">
        <f t="shared" si="35"/>
        <v>13510.99</v>
      </c>
      <c r="L514" s="89">
        <f t="shared" si="35"/>
        <v>6443415.1800000006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336276.25</v>
      </c>
      <c r="G516" s="18">
        <v>139656.95000000001</v>
      </c>
      <c r="H516" s="18">
        <v>64356.15</v>
      </c>
      <c r="I516" s="18">
        <v>5342.73</v>
      </c>
      <c r="J516" s="18">
        <v>1447.53</v>
      </c>
      <c r="K516" s="18"/>
      <c r="L516" s="88">
        <f>SUM(F516:K516)</f>
        <v>547079.61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194887.72</v>
      </c>
      <c r="G517" s="18">
        <v>93719.64</v>
      </c>
      <c r="H517" s="18">
        <v>10709.95</v>
      </c>
      <c r="I517" s="18">
        <v>823.73</v>
      </c>
      <c r="J517" s="18"/>
      <c r="K517" s="18"/>
      <c r="L517" s="88">
        <f>SUM(F517:K517)</f>
        <v>300141.03999999998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v>132329.25</v>
      </c>
      <c r="G518" s="18">
        <v>49563.8</v>
      </c>
      <c r="H518" s="18">
        <v>23620.28</v>
      </c>
      <c r="I518" s="18">
        <v>2332.21</v>
      </c>
      <c r="J518" s="18">
        <v>273.89999999999998</v>
      </c>
      <c r="K518" s="18"/>
      <c r="L518" s="88">
        <f>SUM(F518:K518)</f>
        <v>208119.43999999997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663493.22</v>
      </c>
      <c r="G519" s="89">
        <f t="shared" ref="G519:L519" si="36">SUM(G516:G518)</f>
        <v>282940.39</v>
      </c>
      <c r="H519" s="89">
        <f t="shared" si="36"/>
        <v>98686.38</v>
      </c>
      <c r="I519" s="89">
        <f t="shared" si="36"/>
        <v>8498.6699999999983</v>
      </c>
      <c r="J519" s="89">
        <f t="shared" si="36"/>
        <v>1721.4299999999998</v>
      </c>
      <c r="K519" s="89">
        <f t="shared" si="36"/>
        <v>0</v>
      </c>
      <c r="L519" s="89">
        <f t="shared" si="36"/>
        <v>1055340.0899999999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118461.679</v>
      </c>
      <c r="G521" s="18">
        <v>46452.247199999998</v>
      </c>
      <c r="H521" s="18">
        <v>16871.755400000002</v>
      </c>
      <c r="I521" s="18">
        <v>1961.2798</v>
      </c>
      <c r="J521" s="18">
        <v>231.11160000000001</v>
      </c>
      <c r="K521" s="18">
        <v>1002.66</v>
      </c>
      <c r="L521" s="88">
        <f>SUM(F521:K521)</f>
        <v>184980.73299999998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127975.992</v>
      </c>
      <c r="G522" s="18">
        <v>51050.425600000002</v>
      </c>
      <c r="H522" s="18">
        <v>16187.799199999999</v>
      </c>
      <c r="I522" s="18">
        <v>1845.9103999999998</v>
      </c>
      <c r="J522" s="18">
        <v>217.51680000000002</v>
      </c>
      <c r="K522" s="18">
        <v>1188.68</v>
      </c>
      <c r="L522" s="88">
        <f>SUM(F522:K522)</f>
        <v>198466.32399999999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126789.679</v>
      </c>
      <c r="G523" s="18">
        <v>39009.397200000007</v>
      </c>
      <c r="H523" s="18">
        <v>61823.055400000005</v>
      </c>
      <c r="I523" s="18">
        <v>1961.2798</v>
      </c>
      <c r="J523" s="18">
        <v>231.11160000000001</v>
      </c>
      <c r="K523" s="18">
        <v>1227.6600000000001</v>
      </c>
      <c r="L523" s="88">
        <f>SUM(F523:K523)</f>
        <v>231042.18300000002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373227.35</v>
      </c>
      <c r="G524" s="89">
        <f t="shared" ref="G524:L524" si="37">SUM(G521:G523)</f>
        <v>136512.07</v>
      </c>
      <c r="H524" s="89">
        <f t="shared" si="37"/>
        <v>94882.610000000015</v>
      </c>
      <c r="I524" s="89">
        <f t="shared" si="37"/>
        <v>5768.47</v>
      </c>
      <c r="J524" s="89">
        <f t="shared" si="37"/>
        <v>679.74</v>
      </c>
      <c r="K524" s="89">
        <f t="shared" si="37"/>
        <v>3419</v>
      </c>
      <c r="L524" s="89">
        <f t="shared" si="37"/>
        <v>614489.24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v>49236.3</v>
      </c>
      <c r="G531" s="18">
        <v>14714.13</v>
      </c>
      <c r="H531" s="18">
        <v>6264.02</v>
      </c>
      <c r="I531" s="18">
        <v>3824.21</v>
      </c>
      <c r="J531" s="18"/>
      <c r="K531" s="18"/>
      <c r="L531" s="88">
        <f>SUM(F531:K531)</f>
        <v>74038.66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v>14848.28</v>
      </c>
      <c r="G532" s="18">
        <v>3446.96</v>
      </c>
      <c r="H532" s="18">
        <v>6540.72</v>
      </c>
      <c r="I532" s="18">
        <v>4489.29</v>
      </c>
      <c r="J532" s="18"/>
      <c r="K532" s="18"/>
      <c r="L532" s="88">
        <f>SUM(F532:K532)</f>
        <v>29325.250000000004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v>40467.19</v>
      </c>
      <c r="G533" s="18">
        <v>11238.48</v>
      </c>
      <c r="H533" s="18">
        <v>14432.45</v>
      </c>
      <c r="I533" s="18">
        <v>8313.51</v>
      </c>
      <c r="J533" s="18"/>
      <c r="K533" s="18"/>
      <c r="L533" s="88">
        <f>SUM(F533:K533)</f>
        <v>74451.62999999999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104551.77</v>
      </c>
      <c r="G534" s="194">
        <f t="shared" ref="G534:L534" si="39">SUM(G531:G533)</f>
        <v>29399.57</v>
      </c>
      <c r="H534" s="194">
        <f t="shared" si="39"/>
        <v>27237.190000000002</v>
      </c>
      <c r="I534" s="194">
        <f t="shared" si="39"/>
        <v>16627.010000000002</v>
      </c>
      <c r="J534" s="194">
        <f t="shared" si="39"/>
        <v>0</v>
      </c>
      <c r="K534" s="194">
        <f t="shared" si="39"/>
        <v>0</v>
      </c>
      <c r="L534" s="194">
        <f t="shared" si="39"/>
        <v>177815.53999999998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4708958.3299999991</v>
      </c>
      <c r="G535" s="89">
        <f t="shared" ref="G535:L535" si="40">G514+G519+G524+G529+G534</f>
        <v>1852451.9800000004</v>
      </c>
      <c r="H535" s="89">
        <f t="shared" si="40"/>
        <v>1633043.6300000001</v>
      </c>
      <c r="I535" s="89">
        <f t="shared" si="40"/>
        <v>56882.270000000004</v>
      </c>
      <c r="J535" s="89">
        <f t="shared" si="40"/>
        <v>22793.850000000002</v>
      </c>
      <c r="K535" s="89">
        <f t="shared" si="40"/>
        <v>16929.989999999998</v>
      </c>
      <c r="L535" s="89">
        <f t="shared" si="40"/>
        <v>8291060.0500000007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2656501.2050000001</v>
      </c>
      <c r="G539" s="87">
        <f>L516</f>
        <v>547079.61</v>
      </c>
      <c r="H539" s="87">
        <f>L521</f>
        <v>184980.73299999998</v>
      </c>
      <c r="I539" s="87">
        <f>L526</f>
        <v>0</v>
      </c>
      <c r="J539" s="87">
        <f>L531</f>
        <v>74038.66</v>
      </c>
      <c r="K539" s="87">
        <f>SUM(F539:J539)</f>
        <v>3462600.2080000001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2029858.5200000003</v>
      </c>
      <c r="G540" s="87">
        <f>L517</f>
        <v>300141.03999999998</v>
      </c>
      <c r="H540" s="87">
        <f>L522</f>
        <v>198466.32399999999</v>
      </c>
      <c r="I540" s="87">
        <f>L527</f>
        <v>0</v>
      </c>
      <c r="J540" s="87">
        <f>L532</f>
        <v>29325.250000000004</v>
      </c>
      <c r="K540" s="87">
        <f>SUM(F540:J540)</f>
        <v>2557791.1340000001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1757055.4549999998</v>
      </c>
      <c r="G541" s="87">
        <f>L518</f>
        <v>208119.43999999997</v>
      </c>
      <c r="H541" s="87">
        <f>L523</f>
        <v>231042.18300000002</v>
      </c>
      <c r="I541" s="87">
        <f>L528</f>
        <v>0</v>
      </c>
      <c r="J541" s="87">
        <f>L533</f>
        <v>74451.62999999999</v>
      </c>
      <c r="K541" s="87">
        <f>SUM(F541:J541)</f>
        <v>2270668.7079999996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6443415.1800000006</v>
      </c>
      <c r="G542" s="89">
        <f t="shared" si="41"/>
        <v>1055340.0899999999</v>
      </c>
      <c r="H542" s="89">
        <f t="shared" si="41"/>
        <v>614489.24</v>
      </c>
      <c r="I542" s="89">
        <f t="shared" si="41"/>
        <v>0</v>
      </c>
      <c r="J542" s="89">
        <f t="shared" si="41"/>
        <v>177815.53999999998</v>
      </c>
      <c r="K542" s="89">
        <f t="shared" si="41"/>
        <v>8291060.0499999998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63865.17</v>
      </c>
      <c r="G552" s="18">
        <v>11393.8</v>
      </c>
      <c r="H552" s="18">
        <v>250</v>
      </c>
      <c r="I552" s="18">
        <v>574.23</v>
      </c>
      <c r="J552" s="18"/>
      <c r="K552" s="18"/>
      <c r="L552" s="88">
        <f>SUM(F552:K552)</f>
        <v>76083.199999999997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31760.21</v>
      </c>
      <c r="G553" s="18">
        <v>9535.68</v>
      </c>
      <c r="H553" s="18">
        <v>250</v>
      </c>
      <c r="I553" s="18">
        <v>950.95</v>
      </c>
      <c r="J553" s="18"/>
      <c r="K553" s="18"/>
      <c r="L553" s="88">
        <f>SUM(F553:K553)</f>
        <v>42496.84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549</v>
      </c>
      <c r="G554" s="18">
        <v>83.12</v>
      </c>
      <c r="H554" s="18"/>
      <c r="I554" s="18"/>
      <c r="J554" s="18"/>
      <c r="K554" s="18"/>
      <c r="L554" s="88">
        <f>SUM(F554:K554)</f>
        <v>632.12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96174.38</v>
      </c>
      <c r="G555" s="89">
        <f t="shared" si="43"/>
        <v>21012.6</v>
      </c>
      <c r="H555" s="89">
        <f t="shared" si="43"/>
        <v>500</v>
      </c>
      <c r="I555" s="89">
        <f t="shared" si="43"/>
        <v>1525.18</v>
      </c>
      <c r="J555" s="89">
        <f t="shared" si="43"/>
        <v>0</v>
      </c>
      <c r="K555" s="89">
        <f t="shared" si="43"/>
        <v>0</v>
      </c>
      <c r="L555" s="89">
        <f t="shared" si="43"/>
        <v>119212.15999999999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96174.38</v>
      </c>
      <c r="G561" s="89">
        <f t="shared" ref="G561:L561" si="45">G550+G555+G560</f>
        <v>21012.6</v>
      </c>
      <c r="H561" s="89">
        <f t="shared" si="45"/>
        <v>500</v>
      </c>
      <c r="I561" s="89">
        <f t="shared" si="45"/>
        <v>1525.18</v>
      </c>
      <c r="J561" s="89">
        <f t="shared" si="45"/>
        <v>0</v>
      </c>
      <c r="K561" s="89">
        <f t="shared" si="45"/>
        <v>0</v>
      </c>
      <c r="L561" s="89">
        <f t="shared" si="45"/>
        <v>119212.15999999999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>SUM(F568:H568)</f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>SUM(F569:H569)</f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65444.959999999999</v>
      </c>
      <c r="G570" s="18"/>
      <c r="H570" s="18">
        <v>23555.24</v>
      </c>
      <c r="I570" s="87">
        <f t="shared" si="46"/>
        <v>89000.2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501114.41</v>
      </c>
      <c r="G572" s="18"/>
      <c r="H572" s="18">
        <v>155699.56</v>
      </c>
      <c r="I572" s="87">
        <f>SUM(F572:H572)</f>
        <v>656813.97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23555.24</v>
      </c>
      <c r="I574" s="87">
        <f t="shared" si="46"/>
        <v>23555.24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371061.46</v>
      </c>
      <c r="I581" s="18">
        <v>438360.88</v>
      </c>
      <c r="J581" s="18">
        <v>815868.49</v>
      </c>
      <c r="K581" s="104">
        <f t="shared" ref="K581:K587" si="47">SUM(H581:J581)</f>
        <v>1625290.83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74038.66</v>
      </c>
      <c r="I582" s="18">
        <v>29325.25</v>
      </c>
      <c r="J582" s="18">
        <v>74451.64</v>
      </c>
      <c r="K582" s="104">
        <f t="shared" si="47"/>
        <v>177815.55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23317.58</v>
      </c>
      <c r="K583" s="104">
        <f t="shared" si="47"/>
        <v>23317.58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4557.8</v>
      </c>
      <c r="J584" s="18">
        <v>25324.2</v>
      </c>
      <c r="K584" s="104">
        <f t="shared" si="47"/>
        <v>29882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3468.63</v>
      </c>
      <c r="I585" s="18">
        <v>5319.71</v>
      </c>
      <c r="J585" s="18">
        <v>5253.08</v>
      </c>
      <c r="K585" s="104">
        <f t="shared" si="47"/>
        <v>14041.42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5127.3999999999996</v>
      </c>
      <c r="I587" s="18">
        <v>6019.11</v>
      </c>
      <c r="J587" s="18">
        <v>24753.39</v>
      </c>
      <c r="K587" s="104">
        <f t="shared" si="47"/>
        <v>35899.899999999994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453696.15</v>
      </c>
      <c r="I588" s="108">
        <f>SUM(I581:I587)</f>
        <v>483582.75</v>
      </c>
      <c r="J588" s="108">
        <f>SUM(J581:J587)</f>
        <v>968968.37999999989</v>
      </c>
      <c r="K588" s="108">
        <f>SUM(K581:K587)</f>
        <v>1906247.28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146112.70000000001</v>
      </c>
      <c r="I594" s="18">
        <v>208002.14</v>
      </c>
      <c r="J594" s="18">
        <v>192150.07</v>
      </c>
      <c r="K594" s="104">
        <f>SUM(H594:J594)</f>
        <v>546264.91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146112.70000000001</v>
      </c>
      <c r="I595" s="108">
        <f>SUM(I592:I594)</f>
        <v>208002.14</v>
      </c>
      <c r="J595" s="108">
        <f>SUM(J592:J594)</f>
        <v>192150.07</v>
      </c>
      <c r="K595" s="108">
        <f>SUM(K592:K594)</f>
        <v>546264.91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48580.014000000003</v>
      </c>
      <c r="G601" s="18">
        <v>5229.762200000001</v>
      </c>
      <c r="H601" s="18">
        <v>49267.54</v>
      </c>
      <c r="I601" s="18">
        <v>418.34</v>
      </c>
      <c r="J601" s="18"/>
      <c r="K601" s="18"/>
      <c r="L601" s="88">
        <f>SUM(F601:K601)</f>
        <v>103495.6562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58000.562000000005</v>
      </c>
      <c r="G602" s="18">
        <v>6171.1955999999991</v>
      </c>
      <c r="H602" s="18">
        <v>12818.06</v>
      </c>
      <c r="I602" s="18">
        <v>270.72000000000003</v>
      </c>
      <c r="J602" s="18"/>
      <c r="K602" s="18"/>
      <c r="L602" s="88">
        <f>SUM(F602:K602)</f>
        <v>77260.537600000011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25595.774000000001</v>
      </c>
      <c r="G603" s="18">
        <v>2858.0222000000003</v>
      </c>
      <c r="H603" s="18">
        <v>6190.17</v>
      </c>
      <c r="I603" s="18"/>
      <c r="J603" s="18"/>
      <c r="K603" s="18"/>
      <c r="L603" s="88">
        <f>SUM(F603:K603)</f>
        <v>34643.966200000003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132176.35</v>
      </c>
      <c r="G604" s="108">
        <f t="shared" si="48"/>
        <v>14258.98</v>
      </c>
      <c r="H604" s="108">
        <f t="shared" si="48"/>
        <v>68275.77</v>
      </c>
      <c r="I604" s="108">
        <f t="shared" si="48"/>
        <v>689.06</v>
      </c>
      <c r="J604" s="108">
        <f t="shared" si="48"/>
        <v>0</v>
      </c>
      <c r="K604" s="108">
        <f t="shared" si="48"/>
        <v>0</v>
      </c>
      <c r="L604" s="89">
        <f t="shared" si="48"/>
        <v>215400.16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3966169.28</v>
      </c>
      <c r="H607" s="109">
        <f>SUM(F44)</f>
        <v>3966169.2800000003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5735.34</v>
      </c>
      <c r="H608" s="109">
        <f>SUM(G44)</f>
        <v>5735.34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146877.72</v>
      </c>
      <c r="H610" s="109">
        <f>SUM(I44)</f>
        <v>146877.72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1017440.6399999999</v>
      </c>
      <c r="H611" s="109">
        <f>SUM(J44)</f>
        <v>1017440.64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2289401.38</v>
      </c>
      <c r="H612" s="109">
        <f>F466</f>
        <v>2289401.3800000027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0.01</v>
      </c>
      <c r="H613" s="109">
        <f>G466</f>
        <v>1.0000000009313226E-2</v>
      </c>
      <c r="I613" s="121" t="s">
        <v>108</v>
      </c>
      <c r="J613" s="109">
        <f t="shared" si="49"/>
        <v>-9.313225537987968E-12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-358353.93</v>
      </c>
      <c r="H614" s="109">
        <f>H466</f>
        <v>-358353.93000000005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146877.72</v>
      </c>
      <c r="H615" s="109">
        <f>I466</f>
        <v>146877.71999999997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1017440.64</v>
      </c>
      <c r="H616" s="109">
        <f>J466</f>
        <v>1017440.64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36258895.230000004</v>
      </c>
      <c r="H617" s="104">
        <f>SUM(F458)</f>
        <v>36258895.229999997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613512.24</v>
      </c>
      <c r="H618" s="104">
        <f>SUM(G458)</f>
        <v>613512.24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950725.62</v>
      </c>
      <c r="H619" s="104">
        <f>SUM(H458)</f>
        <v>950725.62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604.14</v>
      </c>
      <c r="H620" s="104">
        <f>SUM(I458)</f>
        <v>604.14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66196.97</v>
      </c>
      <c r="H621" s="104">
        <f>SUM(J458)</f>
        <v>66196.97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34905562.579999998</v>
      </c>
      <c r="H622" s="104">
        <f>SUM(F462)</f>
        <v>34905562.579999998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1023802.18</v>
      </c>
      <c r="H623" s="104">
        <f>SUM(H462)</f>
        <v>1023802.18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250450.76</v>
      </c>
      <c r="H624" s="104">
        <f>I361</f>
        <v>250450.74</v>
      </c>
      <c r="I624" s="143" t="s">
        <v>271</v>
      </c>
      <c r="J624" s="109">
        <f>G624-H624</f>
        <v>2.0000000018626451E-2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613512.24</v>
      </c>
      <c r="H625" s="104">
        <f>SUM(G462)</f>
        <v>613512.24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259963.49</v>
      </c>
      <c r="H626" s="104">
        <f>SUM(I462)</f>
        <v>259963.49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66196.97</v>
      </c>
      <c r="H627" s="164">
        <f>SUM(J458)</f>
        <v>66196.97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11900</v>
      </c>
      <c r="H628" s="164">
        <f>SUM(J462)</f>
        <v>11900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172738.58</v>
      </c>
      <c r="H629" s="104">
        <f>SUM(F451)</f>
        <v>172738.58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844702.05999999994</v>
      </c>
      <c r="H630" s="104">
        <f>SUM(G451)</f>
        <v>844702.06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1017440.6399999999</v>
      </c>
      <c r="H632" s="104">
        <f>SUM(I451)</f>
        <v>1017440.64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3775.97</v>
      </c>
      <c r="H634" s="104">
        <f>H400</f>
        <v>3775.9700000000003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50000</v>
      </c>
      <c r="H635" s="104">
        <f>G400</f>
        <v>50000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66196.97</v>
      </c>
      <c r="H636" s="104">
        <f>L400</f>
        <v>66196.97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1906247.28</v>
      </c>
      <c r="H637" s="104">
        <f>L200+L218+L236</f>
        <v>1906247.2799999998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546264.91</v>
      </c>
      <c r="H638" s="104">
        <f>(J249+J330)-(J247+J328)</f>
        <v>546264.91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453696.15</v>
      </c>
      <c r="H639" s="104">
        <f>H588</f>
        <v>453696.15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483582.74999999994</v>
      </c>
      <c r="H640" s="104">
        <f>I588</f>
        <v>483582.75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968968.37999999989</v>
      </c>
      <c r="H641" s="104">
        <f>J588</f>
        <v>968968.37999999989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79997.03</v>
      </c>
      <c r="H642" s="104">
        <f>K255+K337</f>
        <v>79997.03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50000</v>
      </c>
      <c r="H645" s="104">
        <f>K258+K339</f>
        <v>50000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2.000001072883606E-2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11542560.900000002</v>
      </c>
      <c r="G650" s="19">
        <f>(L221+L301+L351)</f>
        <v>10775586.49</v>
      </c>
      <c r="H650" s="19">
        <f>(L239+L320+L352)</f>
        <v>11916734.91</v>
      </c>
      <c r="I650" s="19">
        <f>SUM(F650:H650)</f>
        <v>34234882.299999997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135878.07233916377</v>
      </c>
      <c r="G651" s="19">
        <f>(L351/IF(SUM(L350:L352)=0,1,SUM(L350:L352))*(SUM(G89:G102)))</f>
        <v>134034.14280579306</v>
      </c>
      <c r="H651" s="19">
        <f>(L352/IF(SUM(L350:L352)=0,1,SUM(L350:L352))*(SUM(G89:G102)))</f>
        <v>181159.10485504314</v>
      </c>
      <c r="I651" s="19">
        <f>SUM(F651:H651)</f>
        <v>451071.31999999995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437034.28</v>
      </c>
      <c r="G652" s="19">
        <f>(L218+L298)-(J218+J298)</f>
        <v>464023.14999999997</v>
      </c>
      <c r="H652" s="19">
        <f>(L236+L317)-(J236+J317)</f>
        <v>932746.89999999991</v>
      </c>
      <c r="I652" s="19">
        <f>SUM(F652:H652)</f>
        <v>1833804.3299999998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816167.72620000003</v>
      </c>
      <c r="G653" s="200">
        <f>SUM(G565:G577)+SUM(I592:I594)+L602</f>
        <v>285262.67760000005</v>
      </c>
      <c r="H653" s="200">
        <f>SUM(H565:H577)+SUM(J592:J594)+L603</f>
        <v>429604.07620000001</v>
      </c>
      <c r="I653" s="19">
        <f>SUM(F653:H653)</f>
        <v>1531034.48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10153480.821460839</v>
      </c>
      <c r="G654" s="19">
        <f>G650-SUM(G651:G653)</f>
        <v>9892266.5195942074</v>
      </c>
      <c r="H654" s="19">
        <f>H650-SUM(H651:H653)</f>
        <v>10373224.828944957</v>
      </c>
      <c r="I654" s="19">
        <f>I650-SUM(I651:I653)</f>
        <v>30418972.169999998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652.28</v>
      </c>
      <c r="G655" s="249">
        <v>628.15</v>
      </c>
      <c r="H655" s="249">
        <v>690.77</v>
      </c>
      <c r="I655" s="19">
        <f>SUM(F655:H655)</f>
        <v>1971.1999999999998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15566.14</v>
      </c>
      <c r="G657" s="19">
        <f>ROUND(G654/G655,2)</f>
        <v>15748.26</v>
      </c>
      <c r="H657" s="19">
        <f>ROUND(H654/H655,2)</f>
        <v>15016.9</v>
      </c>
      <c r="I657" s="19">
        <f>ROUND(I654/I655,2)</f>
        <v>15431.7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-9.1</v>
      </c>
      <c r="I660" s="19">
        <f>SUM(F660:H660)</f>
        <v>-9.1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15566.14</v>
      </c>
      <c r="G662" s="19">
        <f>ROUND((G654+G659)/(G655+G660),2)</f>
        <v>15748.26</v>
      </c>
      <c r="H662" s="19">
        <f>ROUND((H654+H659)/(H655+H660),2)</f>
        <v>15217.37</v>
      </c>
      <c r="I662" s="19">
        <f>ROUND((I654+I659)/(I655+I660),2)</f>
        <v>15503.27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D124-0847-4094-AC40-9810ACB9B566}">
  <sheetPr>
    <tabColor indexed="20"/>
  </sheetPr>
  <dimension ref="A1:C52"/>
  <sheetViews>
    <sheetView workbookViewId="0">
      <selection activeCell="D40" sqref="D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>
        <f>'DOE25'!A2</f>
        <v>0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9685489.6100000013</v>
      </c>
      <c r="C9" s="230">
        <f>'DOE25'!G189+'DOE25'!G207+'DOE25'!G225+'DOE25'!G268+'DOE25'!G287+'DOE25'!G306</f>
        <v>3634456.3</v>
      </c>
    </row>
    <row r="10" spans="1:3" x14ac:dyDescent="0.2">
      <c r="A10" t="s">
        <v>813</v>
      </c>
      <c r="B10" s="241">
        <v>8777820.1900000013</v>
      </c>
      <c r="C10" s="241">
        <v>3353205.7959000003</v>
      </c>
    </row>
    <row r="11" spans="1:3" x14ac:dyDescent="0.2">
      <c r="A11" t="s">
        <v>814</v>
      </c>
      <c r="B11" s="241">
        <v>238601.41</v>
      </c>
      <c r="C11" s="241">
        <v>108167.9289</v>
      </c>
    </row>
    <row r="12" spans="1:3" x14ac:dyDescent="0.2">
      <c r="A12" t="s">
        <v>815</v>
      </c>
      <c r="B12" s="241">
        <v>401641.51</v>
      </c>
      <c r="C12" s="241">
        <v>144223.90520000001</v>
      </c>
    </row>
    <row r="13" spans="1:3" x14ac:dyDescent="0.2">
      <c r="A13" t="str">
        <f>IF(B9=B13,IF(C9=C13,"Check Total OK","Check Total Error"),"Check Total Error")</f>
        <v>Check Total Error</v>
      </c>
      <c r="B13" s="232">
        <f>SUM(B10:B12)</f>
        <v>9418063.1100000013</v>
      </c>
      <c r="C13" s="232">
        <f>SUM(C10:C12)</f>
        <v>3605597.6300000004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3501322.9000000004</v>
      </c>
      <c r="C18" s="230">
        <f>'DOE25'!G190+'DOE25'!G208+'DOE25'!G226+'DOE25'!G269+'DOE25'!G288+'DOE25'!G307</f>
        <v>1398286.05</v>
      </c>
    </row>
    <row r="19" spans="1:3" x14ac:dyDescent="0.2">
      <c r="A19" t="s">
        <v>813</v>
      </c>
      <c r="B19" s="241">
        <v>1817074.91</v>
      </c>
      <c r="C19" s="241">
        <v>727108.74600000004</v>
      </c>
    </row>
    <row r="20" spans="1:3" x14ac:dyDescent="0.2">
      <c r="A20" t="s">
        <v>814</v>
      </c>
      <c r="B20" s="241">
        <v>1584918.68</v>
      </c>
      <c r="C20" s="241">
        <v>629228.72250000003</v>
      </c>
    </row>
    <row r="21" spans="1:3" x14ac:dyDescent="0.2">
      <c r="A21" t="s">
        <v>815</v>
      </c>
      <c r="B21" s="241">
        <v>99329.31</v>
      </c>
      <c r="C21" s="241">
        <v>41948.5815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3501322.9</v>
      </c>
      <c r="C22" s="232">
        <f>SUM(C19:C21)</f>
        <v>1398286.05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439446.5</v>
      </c>
      <c r="C36" s="236">
        <f>'DOE25'!G192+'DOE25'!G210+'DOE25'!G228+'DOE25'!G271+'DOE25'!G290+'DOE25'!G309</f>
        <v>69806.209999999992</v>
      </c>
    </row>
    <row r="37" spans="1:3" x14ac:dyDescent="0.2">
      <c r="A37" t="s">
        <v>813</v>
      </c>
      <c r="B37" s="241">
        <v>356829.02</v>
      </c>
      <c r="C37" s="241">
        <v>56543.030100000011</v>
      </c>
    </row>
    <row r="38" spans="1:3" x14ac:dyDescent="0.2">
      <c r="A38" t="s">
        <v>814</v>
      </c>
      <c r="B38" s="241">
        <v>46996.93</v>
      </c>
      <c r="C38" s="241">
        <v>7678.6831000000011</v>
      </c>
    </row>
    <row r="39" spans="1:3" x14ac:dyDescent="0.2">
      <c r="A39" t="s">
        <v>815</v>
      </c>
      <c r="B39" s="241">
        <v>35620.550000000003</v>
      </c>
      <c r="C39" s="241">
        <v>5584.4968000000008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439446.5</v>
      </c>
      <c r="C40" s="232">
        <f>SUM(C37:C39)</f>
        <v>69806.210000000021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4BE2-81ED-40E8-8667-51503929029D}">
  <sheetPr>
    <tabColor indexed="11"/>
  </sheetPr>
  <dimension ref="A1:I51"/>
  <sheetViews>
    <sheetView tabSelected="1" workbookViewId="0">
      <pane ySplit="4" topLeftCell="A5" activePane="bottomLeft" state="frozen"/>
      <selection pane="bottomLeft" activeCell="A4" sqref="A4:H4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>
        <f>'DOE25'!A2</f>
        <v>0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20448560.060000002</v>
      </c>
      <c r="D5" s="20">
        <f>SUM('DOE25'!L189:L192)+SUM('DOE25'!L207:L210)+SUM('DOE25'!L225:L228)-F5-G5</f>
        <v>20181323.680000003</v>
      </c>
      <c r="E5" s="244"/>
      <c r="F5" s="256">
        <f>SUM('DOE25'!J189:J192)+SUM('DOE25'!J207:J210)+SUM('DOE25'!J225:J228)</f>
        <v>241341.64</v>
      </c>
      <c r="G5" s="53">
        <f>SUM('DOE25'!K189:K192)+SUM('DOE25'!K207:K210)+SUM('DOE25'!K225:K228)</f>
        <v>25894.739999999998</v>
      </c>
      <c r="H5" s="260"/>
    </row>
    <row r="6" spans="1:9" x14ac:dyDescent="0.2">
      <c r="A6" s="32">
        <v>2100</v>
      </c>
      <c r="B6" t="s">
        <v>835</v>
      </c>
      <c r="C6" s="246">
        <f t="shared" si="0"/>
        <v>2447029.4700000002</v>
      </c>
      <c r="D6" s="20">
        <f>'DOE25'!L194+'DOE25'!L212+'DOE25'!L230-F6-G6</f>
        <v>2439921.6500000004</v>
      </c>
      <c r="E6" s="244"/>
      <c r="F6" s="256">
        <f>'DOE25'!J194+'DOE25'!J212+'DOE25'!J230</f>
        <v>7107.82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982638.17999999993</v>
      </c>
      <c r="D7" s="20">
        <f>'DOE25'!L195+'DOE25'!L213+'DOE25'!L231-F7-G7</f>
        <v>921956.52999999991</v>
      </c>
      <c r="E7" s="244"/>
      <c r="F7" s="256">
        <f>'DOE25'!J195+'DOE25'!J213+'DOE25'!J231</f>
        <v>60681.649999999994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671697.19</v>
      </c>
      <c r="D8" s="244"/>
      <c r="E8" s="20">
        <f>'DOE25'!L196+'DOE25'!L214+'DOE25'!L232-F8-G8-D9-D11</f>
        <v>656677.64999999991</v>
      </c>
      <c r="F8" s="256">
        <f>'DOE25'!J196+'DOE25'!J214+'DOE25'!J232</f>
        <v>2703.87</v>
      </c>
      <c r="G8" s="53">
        <f>'DOE25'!K196+'DOE25'!K214+'DOE25'!K232</f>
        <v>12315.67</v>
      </c>
      <c r="H8" s="260"/>
    </row>
    <row r="9" spans="1:9" x14ac:dyDescent="0.2">
      <c r="A9" s="32">
        <v>2310</v>
      </c>
      <c r="B9" t="s">
        <v>852</v>
      </c>
      <c r="C9" s="246">
        <f t="shared" si="0"/>
        <v>292893.76</v>
      </c>
      <c r="D9" s="245">
        <v>292893.76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27012</v>
      </c>
      <c r="D10" s="244"/>
      <c r="E10" s="245">
        <v>27012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437213.21</v>
      </c>
      <c r="D11" s="245">
        <v>437213.21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1412680.73</v>
      </c>
      <c r="D12" s="20">
        <f>'DOE25'!L197+'DOE25'!L215+'DOE25'!L233-F12-G12</f>
        <v>1405638.2</v>
      </c>
      <c r="E12" s="244"/>
      <c r="F12" s="256">
        <f>'DOE25'!J197+'DOE25'!J215+'DOE25'!J233</f>
        <v>640.58000000000004</v>
      </c>
      <c r="G12" s="53">
        <f>'DOE25'!K197+'DOE25'!K215+'DOE25'!K233</f>
        <v>6401.95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482154.23</v>
      </c>
      <c r="D13" s="244"/>
      <c r="E13" s="20">
        <f>'DOE25'!L198+'DOE25'!L216+'DOE25'!L234-F13-G13</f>
        <v>454832.6</v>
      </c>
      <c r="F13" s="256">
        <f>'DOE25'!J198+'DOE25'!J216+'DOE25'!J234</f>
        <v>26506.63</v>
      </c>
      <c r="G13" s="53">
        <f>'DOE25'!K198+'DOE25'!K216+'DOE25'!K234</f>
        <v>815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3509772.14</v>
      </c>
      <c r="D14" s="20">
        <f>'DOE25'!L199+'DOE25'!L217+'DOE25'!L235-F14-G14</f>
        <v>3501349.3200000003</v>
      </c>
      <c r="E14" s="244"/>
      <c r="F14" s="256">
        <f>'DOE25'!J199+'DOE25'!J217+'DOE25'!J235</f>
        <v>8422.82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1906247.2799999998</v>
      </c>
      <c r="D15" s="20">
        <f>'DOE25'!L200+'DOE25'!L218+'DOE25'!L236-F15-G15</f>
        <v>1832255.3299999998</v>
      </c>
      <c r="E15" s="244"/>
      <c r="F15" s="256">
        <f>'DOE25'!J200+'DOE25'!J218+'DOE25'!J236</f>
        <v>72442.950000000012</v>
      </c>
      <c r="G15" s="53">
        <f>'DOE25'!K200+'DOE25'!K218+'DOE25'!K236</f>
        <v>1549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9785.9000000000015</v>
      </c>
      <c r="D16" s="244"/>
      <c r="E16" s="20">
        <f>'DOE25'!L201+'DOE25'!L219+'DOE25'!L237-F16-G16</f>
        <v>2508.4000000000015</v>
      </c>
      <c r="F16" s="256">
        <f>'DOE25'!J201+'DOE25'!J219+'DOE25'!J237</f>
        <v>533.49999999999955</v>
      </c>
      <c r="G16" s="53">
        <f>'DOE25'!K201+'DOE25'!K219+'DOE25'!K237</f>
        <v>6744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34490.71</v>
      </c>
      <c r="D22" s="244"/>
      <c r="E22" s="244"/>
      <c r="F22" s="256">
        <f>'DOE25'!L247+'DOE25'!L328</f>
        <v>34490.71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2140402.69</v>
      </c>
      <c r="D25" s="244"/>
      <c r="E25" s="244"/>
      <c r="F25" s="259"/>
      <c r="G25" s="257"/>
      <c r="H25" s="258">
        <f>'DOE25'!L252+'DOE25'!L253+'DOE25'!L333+'DOE25'!L334</f>
        <v>2140402.69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379388.62</v>
      </c>
      <c r="D29" s="20">
        <f>'DOE25'!L350+'DOE25'!L351+'DOE25'!L352-'DOE25'!I359-F29-G29</f>
        <v>377810.37</v>
      </c>
      <c r="E29" s="244"/>
      <c r="F29" s="256">
        <f>'DOE25'!J350+'DOE25'!J351+'DOE25'!J352</f>
        <v>0</v>
      </c>
      <c r="G29" s="53">
        <f>'DOE25'!K350+'DOE25'!K351+'DOE25'!K352</f>
        <v>1578.25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1020697.91</v>
      </c>
      <c r="D31" s="20">
        <f>'DOE25'!L282+'DOE25'!L301+'DOE25'!L320+'DOE25'!L325+'DOE25'!L326+'DOE25'!L327-F31-G31</f>
        <v>894764.46000000008</v>
      </c>
      <c r="E31" s="244"/>
      <c r="F31" s="256">
        <f>'DOE25'!J282+'DOE25'!J301+'DOE25'!J320+'DOE25'!J325+'DOE25'!J326+'DOE25'!J327</f>
        <v>125883.44999999998</v>
      </c>
      <c r="G31" s="53">
        <f>'DOE25'!K282+'DOE25'!K301+'DOE25'!K320+'DOE25'!K325+'DOE25'!K326+'DOE25'!K327</f>
        <v>50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32285126.510000009</v>
      </c>
      <c r="E33" s="247">
        <f>SUM(E5:E31)</f>
        <v>1141030.6499999999</v>
      </c>
      <c r="F33" s="247">
        <f>SUM(F5:F31)</f>
        <v>580755.62</v>
      </c>
      <c r="G33" s="247">
        <f>SUM(G5:G31)</f>
        <v>55348.609999999993</v>
      </c>
      <c r="H33" s="247">
        <f>SUM(H5:H31)</f>
        <v>2140402.69</v>
      </c>
    </row>
    <row r="35" spans="2:8" ht="12" thickBot="1" x14ac:dyDescent="0.25">
      <c r="B35" s="254" t="s">
        <v>881</v>
      </c>
      <c r="D35" s="255">
        <f>E33</f>
        <v>1141030.6499999999</v>
      </c>
      <c r="E35" s="250"/>
    </row>
    <row r="36" spans="2:8" ht="12" thickTop="1" x14ac:dyDescent="0.2">
      <c r="B36" t="s">
        <v>849</v>
      </c>
      <c r="D36" s="20">
        <f>D33</f>
        <v>32285126.510000009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ED569-A7A0-4404-AA40-8200D2635C9F}">
  <sheetPr transitionEvaluation="1" codeName="Sheet2">
    <tabColor indexed="10"/>
  </sheetPr>
  <dimension ref="A1:I156"/>
  <sheetViews>
    <sheetView zoomScale="75" workbookViewId="0">
      <pane ySplit="2" topLeftCell="A102" activePane="bottomLeft" state="frozen"/>
      <selection pane="bottomLeft" activeCell="L56" sqref="L56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>
        <f>'DOE25'!A2</f>
        <v>0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3921940.78</v>
      </c>
      <c r="D9" s="95">
        <f>'DOE25'!G9</f>
        <v>0</v>
      </c>
      <c r="E9" s="95">
        <f>'DOE25'!H9</f>
        <v>0</v>
      </c>
      <c r="F9" s="95">
        <f>'DOE25'!I9</f>
        <v>146877.72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60217.72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957222.91999999993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43628.5</v>
      </c>
      <c r="D14" s="95">
        <f>'DOE25'!G14</f>
        <v>5735.34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600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3966169.28</v>
      </c>
      <c r="D19" s="41">
        <f>SUM(D9:D18)</f>
        <v>5735.34</v>
      </c>
      <c r="E19" s="41">
        <f>SUM(E9:E18)</f>
        <v>0</v>
      </c>
      <c r="F19" s="41">
        <f>SUM(F9:F18)</f>
        <v>146877.72</v>
      </c>
      <c r="G19" s="41">
        <f>SUM(G9:G18)</f>
        <v>1017440.6399999999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-315524.01</v>
      </c>
      <c r="D23" s="95">
        <f>'DOE25'!G24</f>
        <v>-27606.959999999999</v>
      </c>
      <c r="E23" s="95">
        <f>'DOE25'!H24</f>
        <v>343130.97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306933.08</v>
      </c>
      <c r="D24" s="95">
        <f>'DOE25'!G25</f>
        <v>17167.89</v>
      </c>
      <c r="E24" s="95">
        <f>'DOE25'!H25</f>
        <v>6403.19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612293</v>
      </c>
      <c r="D28" s="95">
        <f>'DOE25'!G29</f>
        <v>0</v>
      </c>
      <c r="E28" s="95">
        <f>'DOE25'!H29</f>
        <v>8819.77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1073065.83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16174.4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1676767.9000000001</v>
      </c>
      <c r="D32" s="41">
        <f>SUM(D22:D31)</f>
        <v>5735.33</v>
      </c>
      <c r="E32" s="41">
        <f>SUM(E22:E31)</f>
        <v>358353.93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0.01</v>
      </c>
      <c r="E40" s="95">
        <f>'DOE25'!H41</f>
        <v>-358353.93</v>
      </c>
      <c r="F40" s="95">
        <f>'DOE25'!I41</f>
        <v>146877.72</v>
      </c>
      <c r="G40" s="95">
        <f>'DOE25'!J41</f>
        <v>1017440.64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2289401.38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2289401.38</v>
      </c>
      <c r="D42" s="41">
        <f>SUM(D34:D41)</f>
        <v>0.01</v>
      </c>
      <c r="E42" s="41">
        <f>SUM(E34:E41)</f>
        <v>-358353.93</v>
      </c>
      <c r="F42" s="41">
        <f>SUM(F34:F41)</f>
        <v>146877.72</v>
      </c>
      <c r="G42" s="41">
        <f>SUM(G34:G41)</f>
        <v>1017440.64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3966169.2800000003</v>
      </c>
      <c r="D43" s="41">
        <f>D42+D32</f>
        <v>5735.34</v>
      </c>
      <c r="E43" s="41">
        <f>E42+E32</f>
        <v>0</v>
      </c>
      <c r="F43" s="41">
        <f>F42+F32</f>
        <v>146877.72</v>
      </c>
      <c r="G43" s="41">
        <f>G42+G32</f>
        <v>1017440.64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26434797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237680.62</v>
      </c>
      <c r="D49" s="24" t="s">
        <v>312</v>
      </c>
      <c r="E49" s="95">
        <f>'DOE25'!H71</f>
        <v>9570.7999999999993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28588.25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28617.09</v>
      </c>
      <c r="D51" s="95">
        <f>'DOE25'!G88</f>
        <v>0</v>
      </c>
      <c r="E51" s="95">
        <f>'DOE25'!H88</f>
        <v>0</v>
      </c>
      <c r="F51" s="95">
        <f>'DOE25'!I88</f>
        <v>604.14</v>
      </c>
      <c r="G51" s="95">
        <f>'DOE25'!J88</f>
        <v>3775.97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450765.37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78522.14</v>
      </c>
      <c r="D53" s="95">
        <f>SUM('DOE25'!G90:G102)</f>
        <v>305.95</v>
      </c>
      <c r="E53" s="95">
        <f>SUM('DOE25'!H90:H102)</f>
        <v>14022.289999999999</v>
      </c>
      <c r="F53" s="95">
        <f>SUM('DOE25'!I90:I102)</f>
        <v>0</v>
      </c>
      <c r="G53" s="95">
        <f>SUM('DOE25'!J90:J102)</f>
        <v>12421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373408.10000000003</v>
      </c>
      <c r="D54" s="130">
        <f>SUM(D49:D53)</f>
        <v>451071.32</v>
      </c>
      <c r="E54" s="130">
        <f>SUM(E49:E53)</f>
        <v>23593.089999999997</v>
      </c>
      <c r="F54" s="130">
        <f>SUM(F49:F53)</f>
        <v>604.14</v>
      </c>
      <c r="G54" s="130">
        <f>SUM(G49:G53)</f>
        <v>16196.97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26808205.100000001</v>
      </c>
      <c r="D55" s="22">
        <f>D48+D54</f>
        <v>451071.32</v>
      </c>
      <c r="E55" s="22">
        <f>E48+E54</f>
        <v>23593.089999999997</v>
      </c>
      <c r="F55" s="22">
        <f>F48+F54</f>
        <v>604.14</v>
      </c>
      <c r="G55" s="22">
        <f>G48+G54</f>
        <v>16196.97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3581246.51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3317037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1374014.49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8272298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687618.24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247273.57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5023.3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20</v>
      </c>
      <c r="D69" s="95">
        <f>SUM('DOE25'!G123:G127)</f>
        <v>6507.89</v>
      </c>
      <c r="E69" s="95">
        <f>SUM('DOE25'!H123:H127)</f>
        <v>16790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939935.1100000001</v>
      </c>
      <c r="D70" s="130">
        <f>SUM(D64:D69)</f>
        <v>6507.89</v>
      </c>
      <c r="E70" s="130">
        <f>SUM(E64:E69)</f>
        <v>16790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9212233.1099999994</v>
      </c>
      <c r="D73" s="130">
        <f>SUM(D71:D72)+D70+D62</f>
        <v>6507.89</v>
      </c>
      <c r="E73" s="130">
        <f>SUM(E71:E72)+E70+E62</f>
        <v>16790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225462.75</v>
      </c>
      <c r="D80" s="95">
        <f>SUM('DOE25'!G145:G153)</f>
        <v>75936</v>
      </c>
      <c r="E80" s="95">
        <f>SUM('DOE25'!H145:H153)</f>
        <v>910342.53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9690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235152.75</v>
      </c>
      <c r="D83" s="131">
        <f>SUM(D77:D82)</f>
        <v>75936</v>
      </c>
      <c r="E83" s="131">
        <f>SUM(E77:E82)</f>
        <v>910342.53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79997.03</v>
      </c>
      <c r="E88" s="95">
        <f>'DOE25'!H171</f>
        <v>0</v>
      </c>
      <c r="F88" s="95">
        <f>'DOE25'!I171</f>
        <v>0</v>
      </c>
      <c r="G88" s="95">
        <f>'DOE25'!J171</f>
        <v>50000</v>
      </c>
    </row>
    <row r="89" spans="1:7" x14ac:dyDescent="0.2">
      <c r="A89" t="s">
        <v>790</v>
      </c>
      <c r="B89" s="32" t="s">
        <v>211</v>
      </c>
      <c r="C89" s="95">
        <f>SUM('DOE25'!F172:F173)</f>
        <v>3104.27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200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3304.27</v>
      </c>
      <c r="D95" s="86">
        <f>SUM(D85:D94)</f>
        <v>79997.03</v>
      </c>
      <c r="E95" s="86">
        <f>SUM(E85:E94)</f>
        <v>0</v>
      </c>
      <c r="F95" s="86">
        <f>SUM(F85:F94)</f>
        <v>0</v>
      </c>
      <c r="G95" s="86">
        <f>SUM(G85:G94)</f>
        <v>50000</v>
      </c>
    </row>
    <row r="96" spans="1:7" ht="12.75" thickTop="1" thickBot="1" x14ac:dyDescent="0.25">
      <c r="A96" s="33" t="s">
        <v>797</v>
      </c>
      <c r="C96" s="86">
        <f>C55+C73+C83+C95</f>
        <v>36258895.230000004</v>
      </c>
      <c r="D96" s="86">
        <f>D55+D73+D83+D95</f>
        <v>613512.24</v>
      </c>
      <c r="E96" s="86">
        <f>E55+E73+E83+E95</f>
        <v>950725.62</v>
      </c>
      <c r="F96" s="86">
        <f>F55+F73+F83+F95</f>
        <v>604.14</v>
      </c>
      <c r="G96" s="86">
        <f>G55+G73+G95</f>
        <v>66196.97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13572512.25</v>
      </c>
      <c r="D101" s="24" t="s">
        <v>312</v>
      </c>
      <c r="E101" s="95">
        <f>('DOE25'!L268)+('DOE25'!L287)+('DOE25'!L306)</f>
        <v>476887.4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6138786.1100000013</v>
      </c>
      <c r="D102" s="24" t="s">
        <v>312</v>
      </c>
      <c r="E102" s="95">
        <f>('DOE25'!L269)+('DOE25'!L288)+('DOE25'!L307)</f>
        <v>156600.14000000001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23555.24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713706.46</v>
      </c>
      <c r="D104" s="24" t="s">
        <v>312</v>
      </c>
      <c r="E104" s="95">
        <f>+('DOE25'!L271)+('DOE25'!L290)+('DOE25'!L309)</f>
        <v>20874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20448560.059999999</v>
      </c>
      <c r="D107" s="86">
        <f>SUM(D101:D106)</f>
        <v>0</v>
      </c>
      <c r="E107" s="86">
        <f>SUM(E101:E106)</f>
        <v>654361.54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2447029.4700000002</v>
      </c>
      <c r="D110" s="24" t="s">
        <v>312</v>
      </c>
      <c r="E110" s="95">
        <f>+('DOE25'!L273)+('DOE25'!L292)+('DOE25'!L311)</f>
        <v>342832.76999999996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982638.17999999993</v>
      </c>
      <c r="D111" s="24" t="s">
        <v>312</v>
      </c>
      <c r="E111" s="95">
        <f>+('DOE25'!L274)+('DOE25'!L293)+('DOE25'!L312)</f>
        <v>9707.84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1401804.16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1412680.73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482154.23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3509772.14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1906247.2799999998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9785.9000000000015</v>
      </c>
      <c r="D117" s="24" t="s">
        <v>312</v>
      </c>
      <c r="E117" s="95">
        <f>+('DOE25'!L280)+('DOE25'!L299)+('DOE25'!L318)</f>
        <v>13795.76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613512.24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12152112.090000002</v>
      </c>
      <c r="D120" s="86">
        <f>SUM(D110:D119)</f>
        <v>613512.24</v>
      </c>
      <c r="E120" s="86">
        <f>SUM(E110:E119)</f>
        <v>366336.37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34490.71</v>
      </c>
      <c r="D122" s="24" t="s">
        <v>312</v>
      </c>
      <c r="E122" s="129">
        <f>'DOE25'!L328</f>
        <v>0</v>
      </c>
      <c r="F122" s="129">
        <f>SUM('DOE25'!L366:'DOE25'!L372)</f>
        <v>259963.49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1485000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655402.68999999994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3104.27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79997.03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664.43000000000006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65532.54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-16196.970000000001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2304890.4299999997</v>
      </c>
      <c r="D136" s="141">
        <f>SUM(D122:D135)</f>
        <v>0</v>
      </c>
      <c r="E136" s="141">
        <f>SUM(E122:E135)</f>
        <v>3104.27</v>
      </c>
      <c r="F136" s="141">
        <f>SUM(F122:F135)</f>
        <v>259963.49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34905562.579999998</v>
      </c>
      <c r="D137" s="86">
        <f>(D107+D120+D136)</f>
        <v>613512.24</v>
      </c>
      <c r="E137" s="86">
        <f>(E107+E120+E136)</f>
        <v>1023802.18</v>
      </c>
      <c r="F137" s="86">
        <f>(F107+F120+F136)</f>
        <v>259963.49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15</v>
      </c>
      <c r="D143" s="153">
        <f>'DOE25'!H480</f>
        <v>15</v>
      </c>
      <c r="E143" s="153">
        <f>'DOE25'!I480</f>
        <v>20</v>
      </c>
      <c r="F143" s="153">
        <f>'DOE25'!J480</f>
        <v>20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 t="str">
        <f>'DOE25'!G481</f>
        <v>6/97</v>
      </c>
      <c r="D144" s="152" t="str">
        <f>'DOE25'!H481</f>
        <v>6/97</v>
      </c>
      <c r="E144" s="152" t="str">
        <f>'DOE25'!I481</f>
        <v>11/01</v>
      </c>
      <c r="F144" s="152" t="str">
        <f>'DOE25'!J481</f>
        <v>8/03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 t="str">
        <f>'DOE25'!G482</f>
        <v>7/10</v>
      </c>
      <c r="D145" s="152" t="str">
        <f>'DOE25'!H482</f>
        <v>7/11</v>
      </c>
      <c r="E145" s="152" t="str">
        <f>'DOE25'!I482</f>
        <v>11/21</v>
      </c>
      <c r="F145" s="152" t="str">
        <f>'DOE25'!J482</f>
        <v>2/23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2605000</v>
      </c>
      <c r="D146" s="137">
        <f>'DOE25'!H483</f>
        <v>2500000</v>
      </c>
      <c r="E146" s="137">
        <f>'DOE25'!I483</f>
        <v>2300000</v>
      </c>
      <c r="F146" s="137">
        <f>'DOE25'!J483</f>
        <v>20406711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5.08</v>
      </c>
      <c r="D147" s="137">
        <f>'DOE25'!H484</f>
        <v>5.26</v>
      </c>
      <c r="E147" s="137">
        <f>'DOE25'!I484</f>
        <v>4.22</v>
      </c>
      <c r="F147" s="137">
        <f>'DOE25'!J484</f>
        <v>4.09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330000</v>
      </c>
      <c r="D148" s="137">
        <f>'DOE25'!H485</f>
        <v>400000</v>
      </c>
      <c r="E148" s="137">
        <f>'DOE25'!I485</f>
        <v>1495000</v>
      </c>
      <c r="F148" s="137">
        <f>'DOE25'!J485</f>
        <v>14280000</v>
      </c>
      <c r="G148" s="138">
        <f>SUM(B148:F148)</f>
        <v>16505000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175000</v>
      </c>
      <c r="D150" s="137">
        <f>'DOE25'!H487</f>
        <v>175000</v>
      </c>
      <c r="E150" s="137">
        <f>'DOE25'!I487</f>
        <v>115000</v>
      </c>
      <c r="F150" s="137">
        <f>'DOE25'!J487</f>
        <v>1020000</v>
      </c>
      <c r="G150" s="138">
        <f t="shared" si="0"/>
        <v>1485000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155000</v>
      </c>
      <c r="D151" s="137">
        <f>'DOE25'!H488</f>
        <v>225000</v>
      </c>
      <c r="E151" s="137">
        <f>'DOE25'!I488</f>
        <v>1380000</v>
      </c>
      <c r="F151" s="137">
        <f>'DOE25'!J488</f>
        <v>13260000</v>
      </c>
      <c r="G151" s="138">
        <f t="shared" si="0"/>
        <v>15020000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4185</v>
      </c>
      <c r="D152" s="137">
        <f>'DOE25'!H489</f>
        <v>9013</v>
      </c>
      <c r="E152" s="137">
        <f>'DOE25'!I489</f>
        <v>369265</v>
      </c>
      <c r="F152" s="137">
        <f>'DOE25'!J489</f>
        <v>3708975</v>
      </c>
      <c r="G152" s="138">
        <f t="shared" si="0"/>
        <v>4091438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159185</v>
      </c>
      <c r="D153" s="137">
        <f>'DOE25'!H490</f>
        <v>234013</v>
      </c>
      <c r="E153" s="137">
        <f>'DOE25'!I490</f>
        <v>1749265</v>
      </c>
      <c r="F153" s="137">
        <f>'DOE25'!J490</f>
        <v>16968975</v>
      </c>
      <c r="G153" s="138">
        <f t="shared" si="0"/>
        <v>19111438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155000</v>
      </c>
      <c r="D154" s="137">
        <f>'DOE25'!H491</f>
        <v>175000</v>
      </c>
      <c r="E154" s="137">
        <f>'DOE25'!I491</f>
        <v>115000</v>
      </c>
      <c r="F154" s="137">
        <f>'DOE25'!J491</f>
        <v>1020000</v>
      </c>
      <c r="G154" s="138">
        <f t="shared" si="0"/>
        <v>1465000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4185</v>
      </c>
      <c r="D155" s="137">
        <f>'DOE25'!H492</f>
        <v>7613</v>
      </c>
      <c r="E155" s="137">
        <f>'DOE25'!I492</f>
        <v>57156</v>
      </c>
      <c r="F155" s="137">
        <f>'DOE25'!J492</f>
        <v>522240</v>
      </c>
      <c r="G155" s="138">
        <f t="shared" si="0"/>
        <v>591194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159185</v>
      </c>
      <c r="D156" s="137">
        <f>'DOE25'!H493</f>
        <v>182613</v>
      </c>
      <c r="E156" s="137">
        <f>'DOE25'!I493</f>
        <v>172156</v>
      </c>
      <c r="F156" s="137">
        <f>'DOE25'!J493</f>
        <v>1542240</v>
      </c>
      <c r="G156" s="138">
        <f t="shared" si="0"/>
        <v>2056194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6E0A-9FA4-4675-AD02-006C2CA2BDB9}">
  <sheetPr codeName="Sheet3">
    <tabColor indexed="43"/>
  </sheetPr>
  <dimension ref="A1:D42"/>
  <sheetViews>
    <sheetView workbookViewId="0">
      <selection activeCell="E36" sqref="E3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>
        <f>'DOE25'!A2</f>
        <v>0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15566</v>
      </c>
    </row>
    <row r="5" spans="1:4" x14ac:dyDescent="0.2">
      <c r="B5" t="s">
        <v>735</v>
      </c>
      <c r="C5" s="179">
        <f>IF('DOE25'!G655+'DOE25'!G660=0,0,ROUND('DOE25'!G662,0))</f>
        <v>15748</v>
      </c>
    </row>
    <row r="6" spans="1:4" x14ac:dyDescent="0.2">
      <c r="B6" t="s">
        <v>62</v>
      </c>
      <c r="C6" s="179">
        <f>IF('DOE25'!H655+'DOE25'!H660=0,0,ROUND('DOE25'!H662,0))</f>
        <v>15217</v>
      </c>
    </row>
    <row r="7" spans="1:4" x14ac:dyDescent="0.2">
      <c r="B7" t="s">
        <v>736</v>
      </c>
      <c r="C7" s="179">
        <f>IF('DOE25'!I655+'DOE25'!I660=0,0,ROUND('DOE25'!I662,0))</f>
        <v>15503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14049400</v>
      </c>
      <c r="D10" s="182">
        <f>ROUND((C10/$C$28)*100,1)</f>
        <v>40.799999999999997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6295386</v>
      </c>
      <c r="D11" s="182">
        <f>ROUND((C11/$C$28)*100,1)</f>
        <v>18.3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23555</v>
      </c>
      <c r="D12" s="182">
        <f>ROUND((C12/$C$28)*100,1)</f>
        <v>0.1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734580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2789862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992346</v>
      </c>
      <c r="D16" s="182">
        <f t="shared" si="0"/>
        <v>2.9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1425386</v>
      </c>
      <c r="D17" s="182">
        <f t="shared" si="0"/>
        <v>4.0999999999999996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1412681</v>
      </c>
      <c r="D18" s="182">
        <f t="shared" si="0"/>
        <v>4.0999999999999996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482154</v>
      </c>
      <c r="D19" s="182">
        <f t="shared" si="0"/>
        <v>1.4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3509772</v>
      </c>
      <c r="D20" s="182">
        <f t="shared" si="0"/>
        <v>10.199999999999999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1906247</v>
      </c>
      <c r="D21" s="182">
        <f t="shared" si="0"/>
        <v>5.5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655403</v>
      </c>
      <c r="D25" s="182">
        <f t="shared" si="0"/>
        <v>1.9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162440.68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34439212.68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294454</v>
      </c>
    </row>
    <row r="30" spans="1:4" x14ac:dyDescent="0.2">
      <c r="B30" s="187" t="s">
        <v>760</v>
      </c>
      <c r="C30" s="180">
        <f>SUM(C28:C29)</f>
        <v>34733666.68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1485000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26434797</v>
      </c>
      <c r="D35" s="182">
        <f t="shared" ref="D35:D40" si="1">ROUND((C35/$C$41)*100,1)</f>
        <v>70.900000000000006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413802.30000000075</v>
      </c>
      <c r="D36" s="182">
        <f t="shared" si="1"/>
        <v>1.1000000000000001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6898284</v>
      </c>
      <c r="D37" s="182">
        <f t="shared" si="1"/>
        <v>18.5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2337247</v>
      </c>
      <c r="D38" s="182">
        <f t="shared" si="1"/>
        <v>6.3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1221431</v>
      </c>
      <c r="D39" s="182">
        <f t="shared" si="1"/>
        <v>3.3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200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37305761.299999997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93D8-4EED-47D4-B4AB-243890E0A56D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>
        <f>'DOE25'!A2</f>
        <v>0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70A" sheet="1" objects="1" scenarios="1"/>
  <mergeCells count="223">
    <mergeCell ref="C83:M83"/>
    <mergeCell ref="C84:M84"/>
    <mergeCell ref="C85:M85"/>
    <mergeCell ref="C86:M86"/>
    <mergeCell ref="C87:M87"/>
    <mergeCell ref="C88:M88"/>
    <mergeCell ref="C89:M89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66:M66"/>
    <mergeCell ref="C67:M67"/>
    <mergeCell ref="C68:M68"/>
    <mergeCell ref="C69:M69"/>
    <mergeCell ref="C70:M70"/>
    <mergeCell ref="A72:E72"/>
    <mergeCell ref="C64:M64"/>
    <mergeCell ref="C65:M65"/>
    <mergeCell ref="C73:M73"/>
    <mergeCell ref="C74:M74"/>
    <mergeCell ref="C13:M13"/>
    <mergeCell ref="C34:M34"/>
    <mergeCell ref="C35:M35"/>
    <mergeCell ref="C36:M36"/>
    <mergeCell ref="C14:M14"/>
    <mergeCell ref="C15:M15"/>
    <mergeCell ref="A1:I1"/>
    <mergeCell ref="C3:M3"/>
    <mergeCell ref="C4:M4"/>
    <mergeCell ref="F2:I2"/>
    <mergeCell ref="C62:M62"/>
    <mergeCell ref="C63:M63"/>
    <mergeCell ref="C20:M20"/>
    <mergeCell ref="C29:M29"/>
    <mergeCell ref="C26:M26"/>
    <mergeCell ref="C22:M22"/>
    <mergeCell ref="C18:M18"/>
    <mergeCell ref="C19:M19"/>
    <mergeCell ref="A2:E2"/>
    <mergeCell ref="C5:M5"/>
    <mergeCell ref="C6:M6"/>
    <mergeCell ref="C7:M7"/>
    <mergeCell ref="C9:M9"/>
    <mergeCell ref="C10:M10"/>
    <mergeCell ref="C11:M11"/>
    <mergeCell ref="C21:M21"/>
    <mergeCell ref="C30:M30"/>
    <mergeCell ref="C31:M31"/>
    <mergeCell ref="P31:Z31"/>
    <mergeCell ref="AC31:AM31"/>
    <mergeCell ref="AP31:AZ31"/>
    <mergeCell ref="C23:M23"/>
    <mergeCell ref="C24:M24"/>
    <mergeCell ref="C25:M25"/>
    <mergeCell ref="EP29:EZ29"/>
    <mergeCell ref="C8:M8"/>
    <mergeCell ref="P29:Z29"/>
    <mergeCell ref="AC29:AM29"/>
    <mergeCell ref="AP29:AZ29"/>
    <mergeCell ref="C12:M12"/>
    <mergeCell ref="C16:M16"/>
    <mergeCell ref="C17:M17"/>
    <mergeCell ref="C27:M27"/>
    <mergeCell ref="C28:M28"/>
    <mergeCell ref="BP30:BZ30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C42:M42"/>
    <mergeCell ref="P30:Z30"/>
    <mergeCell ref="AC30:AM30"/>
    <mergeCell ref="AP30:AZ30"/>
    <mergeCell ref="C41:M41"/>
    <mergeCell ref="C33:M33"/>
    <mergeCell ref="IP29:IV29"/>
    <mergeCell ref="EP30:EZ30"/>
    <mergeCell ref="IP31:IV31"/>
    <mergeCell ref="BC31:BM31"/>
    <mergeCell ref="BC32:BM32"/>
    <mergeCell ref="EC31:EM31"/>
    <mergeCell ref="DC31:DM31"/>
    <mergeCell ref="IC30:IM30"/>
    <mergeCell ref="IP30:IV30"/>
    <mergeCell ref="FP30:FZ30"/>
    <mergeCell ref="P32:Z32"/>
    <mergeCell ref="AC32:AM32"/>
    <mergeCell ref="AP32:AZ32"/>
    <mergeCell ref="HC29:HM29"/>
    <mergeCell ref="HP29:HZ29"/>
    <mergeCell ref="IC29:IM29"/>
    <mergeCell ref="GC30:GM30"/>
    <mergeCell ref="FC29:FM29"/>
    <mergeCell ref="FP29:FZ29"/>
    <mergeCell ref="BC30:BM30"/>
    <mergeCell ref="C38:M38"/>
    <mergeCell ref="C39:M39"/>
    <mergeCell ref="P38:Z38"/>
    <mergeCell ref="C40:M40"/>
    <mergeCell ref="FC30:FM30"/>
    <mergeCell ref="CC30:CM30"/>
    <mergeCell ref="CP30:CZ30"/>
    <mergeCell ref="DC30:DM30"/>
    <mergeCell ref="DP30:DZ30"/>
    <mergeCell ref="EC30:EM30"/>
    <mergeCell ref="C32:M32"/>
    <mergeCell ref="BP31:BZ31"/>
    <mergeCell ref="CC31:CM31"/>
    <mergeCell ref="CP31:CZ31"/>
    <mergeCell ref="AC38:AM38"/>
    <mergeCell ref="AP38:AZ38"/>
    <mergeCell ref="BP32:BZ32"/>
    <mergeCell ref="BC38:BM38"/>
    <mergeCell ref="BP38:BZ38"/>
    <mergeCell ref="C37:M37"/>
    <mergeCell ref="CC32:CM32"/>
    <mergeCell ref="GP31:GZ31"/>
    <mergeCell ref="HC31:HM31"/>
    <mergeCell ref="CP32:CZ32"/>
    <mergeCell ref="DC32:DM32"/>
    <mergeCell ref="DP32:DZ32"/>
    <mergeCell ref="EC32:EM32"/>
    <mergeCell ref="IP32:IV32"/>
    <mergeCell ref="GP32:GZ32"/>
    <mergeCell ref="HC32:HM32"/>
    <mergeCell ref="IC32:IM32"/>
    <mergeCell ref="HP32:HZ32"/>
    <mergeCell ref="GP30:GZ30"/>
    <mergeCell ref="HC30:HM30"/>
    <mergeCell ref="HP30:HZ30"/>
    <mergeCell ref="DP31:DZ31"/>
    <mergeCell ref="EP31:EZ31"/>
    <mergeCell ref="FC31:FM31"/>
    <mergeCell ref="FC32:FM32"/>
    <mergeCell ref="EP32:EZ32"/>
    <mergeCell ref="IC31:IM31"/>
    <mergeCell ref="FP31:FZ31"/>
    <mergeCell ref="GC31:GM31"/>
    <mergeCell ref="HP31:HZ31"/>
    <mergeCell ref="CC38:CM38"/>
    <mergeCell ref="EC38:EM38"/>
    <mergeCell ref="EP38:EZ38"/>
    <mergeCell ref="GC38:GM38"/>
    <mergeCell ref="CP38:CZ38"/>
    <mergeCell ref="DC38:DM38"/>
    <mergeCell ref="DP38:DZ38"/>
    <mergeCell ref="FP32:FZ32"/>
    <mergeCell ref="GC32:GM32"/>
    <mergeCell ref="FC38:FM38"/>
    <mergeCell ref="IP39:IV39"/>
    <mergeCell ref="FP38:FZ38"/>
    <mergeCell ref="HC38:HM38"/>
    <mergeCell ref="HP38:HZ38"/>
    <mergeCell ref="IC38:IM38"/>
    <mergeCell ref="GP38:GZ38"/>
    <mergeCell ref="IP38:IV38"/>
    <mergeCell ref="EP39:EZ39"/>
    <mergeCell ref="FC39:FM39"/>
    <mergeCell ref="FP39:FZ39"/>
    <mergeCell ref="IC39:IM39"/>
    <mergeCell ref="HC39:HM39"/>
    <mergeCell ref="GP39:GZ39"/>
    <mergeCell ref="HP39:HZ39"/>
    <mergeCell ref="GC39:GM39"/>
    <mergeCell ref="EC39:EM39"/>
    <mergeCell ref="P39:Z39"/>
    <mergeCell ref="AC39:AM39"/>
    <mergeCell ref="AP39:AZ39"/>
    <mergeCell ref="CC39:CM39"/>
    <mergeCell ref="CP39:CZ39"/>
    <mergeCell ref="BP39:BZ39"/>
    <mergeCell ref="BP40:BZ40"/>
    <mergeCell ref="DC39:DM39"/>
    <mergeCell ref="DP39:DZ39"/>
    <mergeCell ref="P40:Z40"/>
    <mergeCell ref="AC40:AM40"/>
    <mergeCell ref="BC39:BM39"/>
    <mergeCell ref="IC40:IM40"/>
    <mergeCell ref="C43:M43"/>
    <mergeCell ref="AP40:AZ40"/>
    <mergeCell ref="FP40:FZ40"/>
    <mergeCell ref="CC40:CM40"/>
    <mergeCell ref="CP40:CZ40"/>
    <mergeCell ref="DC40:DM40"/>
    <mergeCell ref="EP40:EZ40"/>
    <mergeCell ref="DP40:DZ40"/>
    <mergeCell ref="BC40:B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C40:F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2010-10-06T18:55:56Z</cp:lastPrinted>
  <dcterms:created xsi:type="dcterms:W3CDTF">1997-12-04T19:04:30Z</dcterms:created>
  <dcterms:modified xsi:type="dcterms:W3CDTF">2025-01-09T20:07:17Z</dcterms:modified>
</cp:coreProperties>
</file>