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3672473-DB5D-4BB0-A388-C5712BF273C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8070688A-A80C-44F1-BC4C-F587433B358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J581" i="1"/>
  <c r="H350" i="1"/>
  <c r="L350" i="1" s="1"/>
  <c r="F268" i="1"/>
  <c r="B9" i="12" s="1"/>
  <c r="H189" i="1"/>
  <c r="L189" i="1" s="1"/>
  <c r="B18" i="12"/>
  <c r="C18" i="12"/>
  <c r="C36" i="12"/>
  <c r="C37" i="12"/>
  <c r="C40" i="12" s="1"/>
  <c r="C19" i="12"/>
  <c r="C9" i="12"/>
  <c r="J458" i="1"/>
  <c r="J462" i="1"/>
  <c r="I388" i="1"/>
  <c r="H388" i="1"/>
  <c r="H392" i="1"/>
  <c r="H379" i="1"/>
  <c r="L379" i="1" s="1"/>
  <c r="L385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90" i="1"/>
  <c r="L191" i="1"/>
  <c r="C103" i="2" s="1"/>
  <c r="L192" i="1"/>
  <c r="C104" i="2" s="1"/>
  <c r="L207" i="1"/>
  <c r="L208" i="1"/>
  <c r="C11" i="10" s="1"/>
  <c r="L209" i="1"/>
  <c r="L210" i="1"/>
  <c r="L225" i="1"/>
  <c r="L226" i="1"/>
  <c r="L227" i="1"/>
  <c r="L239" i="1" s="1"/>
  <c r="H650" i="1" s="1"/>
  <c r="L228" i="1"/>
  <c r="C13" i="10" s="1"/>
  <c r="F6" i="13"/>
  <c r="G6" i="13"/>
  <c r="L194" i="1"/>
  <c r="C15" i="10" s="1"/>
  <c r="L212" i="1"/>
  <c r="L230" i="1"/>
  <c r="F7" i="13"/>
  <c r="G7" i="13"/>
  <c r="L195" i="1"/>
  <c r="D7" i="13" s="1"/>
  <c r="C7" i="13" s="1"/>
  <c r="L213" i="1"/>
  <c r="C16" i="10" s="1"/>
  <c r="L231" i="1"/>
  <c r="F12" i="13"/>
  <c r="G12" i="13"/>
  <c r="L197" i="1"/>
  <c r="C113" i="2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F652" i="1" s="1"/>
  <c r="I652" i="1" s="1"/>
  <c r="L218" i="1"/>
  <c r="L236" i="1"/>
  <c r="F17" i="13"/>
  <c r="G17" i="13"/>
  <c r="L243" i="1"/>
  <c r="D17" i="13"/>
  <c r="C17" i="13" s="1"/>
  <c r="F18" i="13"/>
  <c r="D18" i="13" s="1"/>
  <c r="C18" i="13" s="1"/>
  <c r="G18" i="13"/>
  <c r="L244" i="1"/>
  <c r="F19" i="13"/>
  <c r="G19" i="13"/>
  <c r="L245" i="1"/>
  <c r="C106" i="2" s="1"/>
  <c r="F29" i="13"/>
  <c r="G29" i="13"/>
  <c r="L351" i="1"/>
  <c r="L352" i="1"/>
  <c r="H651" i="1" s="1"/>
  <c r="I359" i="1"/>
  <c r="J282" i="1"/>
  <c r="F31" i="13" s="1"/>
  <c r="J301" i="1"/>
  <c r="J320" i="1"/>
  <c r="K282" i="1"/>
  <c r="K301" i="1"/>
  <c r="K320" i="1"/>
  <c r="G31" i="13"/>
  <c r="L268" i="1"/>
  <c r="E101" i="2" s="1"/>
  <c r="E107" i="2" s="1"/>
  <c r="L269" i="1"/>
  <c r="E102" i="2" s="1"/>
  <c r="L270" i="1"/>
  <c r="L271" i="1"/>
  <c r="L273" i="1"/>
  <c r="E110" i="2" s="1"/>
  <c r="L274" i="1"/>
  <c r="L275" i="1"/>
  <c r="E112" i="2" s="1"/>
  <c r="L276" i="1"/>
  <c r="L277" i="1"/>
  <c r="L278" i="1"/>
  <c r="L279" i="1"/>
  <c r="L280" i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C17" i="10" s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E117" i="2" s="1"/>
  <c r="L325" i="1"/>
  <c r="L326" i="1"/>
  <c r="E106" i="2" s="1"/>
  <c r="L327" i="1"/>
  <c r="L252" i="1"/>
  <c r="H25" i="13" s="1"/>
  <c r="L253" i="1"/>
  <c r="C25" i="10" s="1"/>
  <c r="L333" i="1"/>
  <c r="L343" i="1" s="1"/>
  <c r="L334" i="1"/>
  <c r="E124" i="2" s="1"/>
  <c r="L247" i="1"/>
  <c r="C29" i="10" s="1"/>
  <c r="L328" i="1"/>
  <c r="E122" i="2" s="1"/>
  <c r="F22" i="13"/>
  <c r="C22" i="13" s="1"/>
  <c r="C11" i="13"/>
  <c r="C10" i="13"/>
  <c r="C9" i="13"/>
  <c r="L353" i="1"/>
  <c r="B4" i="12"/>
  <c r="B36" i="12"/>
  <c r="A40" i="12" s="1"/>
  <c r="B40" i="12"/>
  <c r="B27" i="12"/>
  <c r="A31" i="12" s="1"/>
  <c r="C27" i="12"/>
  <c r="B31" i="12"/>
  <c r="C31" i="12"/>
  <c r="B13" i="12"/>
  <c r="B22" i="12"/>
  <c r="B1" i="12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9" i="1" s="1"/>
  <c r="C132" i="2" s="1"/>
  <c r="L398" i="1"/>
  <c r="L258" i="1"/>
  <c r="J52" i="1"/>
  <c r="G48" i="2"/>
  <c r="G55" i="2" s="1"/>
  <c r="G51" i="2"/>
  <c r="G54" i="2" s="1"/>
  <c r="G53" i="2"/>
  <c r="F2" i="11"/>
  <c r="L603" i="1"/>
  <c r="H653" i="1" s="1"/>
  <c r="L602" i="1"/>
  <c r="G653" i="1" s="1"/>
  <c r="L601" i="1"/>
  <c r="F653" i="1" s="1"/>
  <c r="C40" i="10"/>
  <c r="F52" i="1"/>
  <c r="C35" i="10" s="1"/>
  <c r="G52" i="1"/>
  <c r="D48" i="2" s="1"/>
  <c r="D55" i="2" s="1"/>
  <c r="H52" i="1"/>
  <c r="I52" i="1"/>
  <c r="F71" i="1"/>
  <c r="C49" i="2" s="1"/>
  <c r="C54" i="2" s="1"/>
  <c r="F86" i="1"/>
  <c r="F103" i="1"/>
  <c r="G103" i="1"/>
  <c r="H71" i="1"/>
  <c r="H104" i="1" s="1"/>
  <c r="H86" i="1"/>
  <c r="E50" i="2" s="1"/>
  <c r="H103" i="1"/>
  <c r="I103" i="1"/>
  <c r="I104" i="1"/>
  <c r="J103" i="1"/>
  <c r="J104" i="1" s="1"/>
  <c r="J185" i="1" s="1"/>
  <c r="C37" i="10"/>
  <c r="F113" i="1"/>
  <c r="F128" i="1"/>
  <c r="F132" i="1"/>
  <c r="G113" i="1"/>
  <c r="G132" i="1" s="1"/>
  <c r="G128" i="1"/>
  <c r="H113" i="1"/>
  <c r="H128" i="1"/>
  <c r="H132" i="1" s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H139" i="1"/>
  <c r="E77" i="2" s="1"/>
  <c r="E83" i="2" s="1"/>
  <c r="H154" i="1"/>
  <c r="I139" i="1"/>
  <c r="I154" i="1"/>
  <c r="I161" i="1"/>
  <c r="C18" i="10"/>
  <c r="L242" i="1"/>
  <c r="L324" i="1"/>
  <c r="C23" i="10"/>
  <c r="L246" i="1"/>
  <c r="C116" i="2" s="1"/>
  <c r="C24" i="10"/>
  <c r="L260" i="1"/>
  <c r="L261" i="1"/>
  <c r="C26" i="10" s="1"/>
  <c r="L341" i="1"/>
  <c r="E134" i="2" s="1"/>
  <c r="L342" i="1"/>
  <c r="I655" i="1"/>
  <c r="I660" i="1"/>
  <c r="G652" i="1"/>
  <c r="I659" i="1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K540" i="1" s="1"/>
  <c r="L513" i="1"/>
  <c r="F541" i="1" s="1"/>
  <c r="K541" i="1" s="1"/>
  <c r="L516" i="1"/>
  <c r="G539" i="1"/>
  <c r="G542" i="1" s="1"/>
  <c r="L517" i="1"/>
  <c r="G540" i="1"/>
  <c r="L518" i="1"/>
  <c r="G541" i="1"/>
  <c r="L521" i="1"/>
  <c r="H539" i="1"/>
  <c r="L522" i="1"/>
  <c r="H540" i="1" s="1"/>
  <c r="L523" i="1"/>
  <c r="H541" i="1"/>
  <c r="L526" i="1"/>
  <c r="I539" i="1"/>
  <c r="L527" i="1"/>
  <c r="I540" i="1"/>
  <c r="L528" i="1"/>
  <c r="I541" i="1"/>
  <c r="I542" i="1"/>
  <c r="L531" i="1"/>
  <c r="J539" i="1" s="1"/>
  <c r="L532" i="1"/>
  <c r="J540" i="1"/>
  <c r="L533" i="1"/>
  <c r="J541" i="1" s="1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C19" i="2" s="1"/>
  <c r="D9" i="2"/>
  <c r="D19" i="2" s="1"/>
  <c r="E9" i="2"/>
  <c r="F9" i="2"/>
  <c r="I431" i="1"/>
  <c r="I438" i="1" s="1"/>
  <c r="G632" i="1" s="1"/>
  <c r="J9" i="1"/>
  <c r="G9" i="2" s="1"/>
  <c r="C10" i="2"/>
  <c r="D10" i="2"/>
  <c r="E10" i="2"/>
  <c r="F10" i="2"/>
  <c r="I432" i="1"/>
  <c r="J10" i="1"/>
  <c r="G10" i="2"/>
  <c r="C11" i="2"/>
  <c r="C12" i="2"/>
  <c r="D12" i="2"/>
  <c r="E12" i="2"/>
  <c r="E19" i="2" s="1"/>
  <c r="F12" i="2"/>
  <c r="F19" i="2" s="1"/>
  <c r="I433" i="1"/>
  <c r="J12" i="1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I451" i="1" s="1"/>
  <c r="H632" i="1" s="1"/>
  <c r="J23" i="1"/>
  <c r="G22" i="2" s="1"/>
  <c r="G32" i="2" s="1"/>
  <c r="C23" i="2"/>
  <c r="D23" i="2"/>
  <c r="E23" i="2"/>
  <c r="E32" i="2" s="1"/>
  <c r="F23" i="2"/>
  <c r="F32" i="2" s="1"/>
  <c r="I441" i="1"/>
  <c r="J24" i="1"/>
  <c r="J33" i="1" s="1"/>
  <c r="G23" i="2"/>
  <c r="C24" i="2"/>
  <c r="D24" i="2"/>
  <c r="E24" i="2"/>
  <c r="F24" i="2"/>
  <c r="I442" i="1"/>
  <c r="J25" i="1"/>
  <c r="G24" i="2" s="1"/>
  <c r="C25" i="2"/>
  <c r="D25" i="2"/>
  <c r="E25" i="2"/>
  <c r="F25" i="2"/>
  <c r="C26" i="2"/>
  <c r="C32" i="2" s="1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D32" i="2"/>
  <c r="C34" i="2"/>
  <c r="C42" i="2" s="1"/>
  <c r="C43" i="2" s="1"/>
  <c r="D34" i="2"/>
  <c r="D42" i="2" s="1"/>
  <c r="D43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I450" i="1" s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F42" i="2" s="1"/>
  <c r="I449" i="1"/>
  <c r="J41" i="1" s="1"/>
  <c r="G40" i="2" s="1"/>
  <c r="C41" i="2"/>
  <c r="D41" i="2"/>
  <c r="E41" i="2"/>
  <c r="F41" i="2"/>
  <c r="E48" i="2"/>
  <c r="F48" i="2"/>
  <c r="E49" i="2"/>
  <c r="C50" i="2"/>
  <c r="C51" i="2"/>
  <c r="D51" i="2"/>
  <c r="E51" i="2"/>
  <c r="F51" i="2"/>
  <c r="F54" i="2" s="1"/>
  <c r="F55" i="2" s="1"/>
  <c r="D52" i="2"/>
  <c r="C53" i="2"/>
  <c r="D53" i="2"/>
  <c r="E53" i="2"/>
  <c r="F53" i="2"/>
  <c r="D54" i="2"/>
  <c r="C58" i="2"/>
  <c r="C62" i="2" s="1"/>
  <c r="C59" i="2"/>
  <c r="C61" i="2"/>
  <c r="D61" i="2"/>
  <c r="E61" i="2"/>
  <c r="E62" i="2" s="1"/>
  <c r="F61" i="2"/>
  <c r="F62" i="2" s="1"/>
  <c r="G61" i="2"/>
  <c r="D62" i="2"/>
  <c r="G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F70" i="2"/>
  <c r="F73" i="2" s="1"/>
  <c r="C71" i="2"/>
  <c r="D71" i="2"/>
  <c r="E71" i="2"/>
  <c r="C72" i="2"/>
  <c r="E72" i="2"/>
  <c r="C77" i="2"/>
  <c r="C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F95" i="2" s="1"/>
  <c r="D88" i="2"/>
  <c r="D95" i="2" s="1"/>
  <c r="E88" i="2"/>
  <c r="F88" i="2"/>
  <c r="G88" i="2"/>
  <c r="G95" i="2" s="1"/>
  <c r="C89" i="2"/>
  <c r="C95" i="2" s="1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2" i="2"/>
  <c r="E103" i="2"/>
  <c r="E104" i="2"/>
  <c r="C105" i="2"/>
  <c r="E105" i="2"/>
  <c r="D107" i="2"/>
  <c r="F107" i="2"/>
  <c r="F137" i="2" s="1"/>
  <c r="G107" i="2"/>
  <c r="G137" i="2" s="1"/>
  <c r="C110" i="2"/>
  <c r="E111" i="2"/>
  <c r="C112" i="2"/>
  <c r="E113" i="2"/>
  <c r="E114" i="2"/>
  <c r="E115" i="2"/>
  <c r="C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G493" i="1"/>
  <c r="K493" i="1" s="1"/>
  <c r="C156" i="2"/>
  <c r="H493" i="1"/>
  <c r="D156" i="2"/>
  <c r="I493" i="1"/>
  <c r="E156" i="2"/>
  <c r="J493" i="1"/>
  <c r="F156" i="2"/>
  <c r="F19" i="1"/>
  <c r="G19" i="1"/>
  <c r="H19" i="1"/>
  <c r="I19" i="1"/>
  <c r="G610" i="1" s="1"/>
  <c r="F33" i="1"/>
  <c r="G33" i="1"/>
  <c r="H33" i="1"/>
  <c r="I33" i="1"/>
  <c r="I44" i="1" s="1"/>
  <c r="H610" i="1" s="1"/>
  <c r="F43" i="1"/>
  <c r="G612" i="1" s="1"/>
  <c r="G43" i="1"/>
  <c r="H43" i="1"/>
  <c r="H44" i="1" s="1"/>
  <c r="H609" i="1" s="1"/>
  <c r="I43" i="1"/>
  <c r="F44" i="1"/>
  <c r="G44" i="1"/>
  <c r="H608" i="1" s="1"/>
  <c r="J608" i="1" s="1"/>
  <c r="F169" i="1"/>
  <c r="F184" i="1" s="1"/>
  <c r="I169" i="1"/>
  <c r="F175" i="1"/>
  <c r="G175" i="1"/>
  <c r="H175" i="1"/>
  <c r="I175" i="1"/>
  <c r="J175" i="1"/>
  <c r="J184" i="1" s="1"/>
  <c r="F180" i="1"/>
  <c r="G180" i="1"/>
  <c r="G184" i="1" s="1"/>
  <c r="H180" i="1"/>
  <c r="I180" i="1"/>
  <c r="H184" i="1"/>
  <c r="I184" i="1"/>
  <c r="F203" i="1"/>
  <c r="G203" i="1"/>
  <c r="H203" i="1"/>
  <c r="I203" i="1"/>
  <c r="J203" i="1"/>
  <c r="K203" i="1"/>
  <c r="K249" i="1" s="1"/>
  <c r="K263" i="1" s="1"/>
  <c r="F221" i="1"/>
  <c r="F249" i="1" s="1"/>
  <c r="F263" i="1" s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H249" i="1"/>
  <c r="I249" i="1"/>
  <c r="I263" i="1" s="1"/>
  <c r="G263" i="1"/>
  <c r="H263" i="1"/>
  <c r="F282" i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I329" i="1"/>
  <c r="J329" i="1"/>
  <c r="K329" i="1"/>
  <c r="L329" i="1"/>
  <c r="F330" i="1"/>
  <c r="F344" i="1" s="1"/>
  <c r="J330" i="1"/>
  <c r="K330" i="1"/>
  <c r="J344" i="1"/>
  <c r="K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F393" i="1"/>
  <c r="F400" i="1" s="1"/>
  <c r="H633" i="1" s="1"/>
  <c r="G393" i="1"/>
  <c r="H393" i="1"/>
  <c r="I393" i="1"/>
  <c r="F399" i="1"/>
  <c r="G399" i="1"/>
  <c r="G400" i="1" s="1"/>
  <c r="H635" i="1" s="1"/>
  <c r="H399" i="1"/>
  <c r="I399" i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G426" i="1" s="1"/>
  <c r="H425" i="1"/>
  <c r="I425" i="1"/>
  <c r="J425" i="1"/>
  <c r="L425" i="1"/>
  <c r="F426" i="1"/>
  <c r="F438" i="1"/>
  <c r="G438" i="1"/>
  <c r="H438" i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F460" i="1"/>
  <c r="G460" i="1"/>
  <c r="G466" i="1" s="1"/>
  <c r="H613" i="1" s="1"/>
  <c r="H460" i="1"/>
  <c r="H466" i="1" s="1"/>
  <c r="H614" i="1" s="1"/>
  <c r="I460" i="1"/>
  <c r="J460" i="1"/>
  <c r="F464" i="1"/>
  <c r="F466" i="1" s="1"/>
  <c r="H612" i="1" s="1"/>
  <c r="G464" i="1"/>
  <c r="H464" i="1"/>
  <c r="I464" i="1"/>
  <c r="J464" i="1"/>
  <c r="I466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F519" i="1"/>
  <c r="G519" i="1"/>
  <c r="H519" i="1"/>
  <c r="I519" i="1"/>
  <c r="I535" i="1" s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 s="1"/>
  <c r="L534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H561" i="1" s="1"/>
  <c r="I555" i="1"/>
  <c r="I561" i="1" s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I588" i="1"/>
  <c r="H640" i="1" s="1"/>
  <c r="J640" i="1" s="1"/>
  <c r="J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H607" i="1"/>
  <c r="G608" i="1"/>
  <c r="G609" i="1"/>
  <c r="J609" i="1" s="1"/>
  <c r="G613" i="1"/>
  <c r="G614" i="1"/>
  <c r="G615" i="1"/>
  <c r="J615" i="1" s="1"/>
  <c r="H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H629" i="1"/>
  <c r="G630" i="1"/>
  <c r="G631" i="1"/>
  <c r="G633" i="1"/>
  <c r="G634" i="1"/>
  <c r="G635" i="1"/>
  <c r="J635" i="1" s="1"/>
  <c r="H637" i="1"/>
  <c r="G639" i="1"/>
  <c r="J639" i="1" s="1"/>
  <c r="H639" i="1"/>
  <c r="G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J638" i="1" l="1"/>
  <c r="E33" i="13"/>
  <c r="D35" i="13" s="1"/>
  <c r="C8" i="13"/>
  <c r="J634" i="1"/>
  <c r="F542" i="1"/>
  <c r="K539" i="1"/>
  <c r="K542" i="1" s="1"/>
  <c r="C38" i="10"/>
  <c r="J263" i="1"/>
  <c r="H638" i="1"/>
  <c r="H654" i="1"/>
  <c r="J633" i="1"/>
  <c r="G153" i="2"/>
  <c r="C136" i="2"/>
  <c r="F96" i="2"/>
  <c r="H542" i="1"/>
  <c r="E136" i="2"/>
  <c r="J631" i="1"/>
  <c r="J612" i="1"/>
  <c r="F43" i="2"/>
  <c r="J542" i="1"/>
  <c r="G96" i="2"/>
  <c r="C5" i="13"/>
  <c r="J630" i="1"/>
  <c r="E43" i="2"/>
  <c r="C39" i="10"/>
  <c r="L400" i="1"/>
  <c r="C130" i="2"/>
  <c r="C133" i="2" s="1"/>
  <c r="L203" i="1"/>
  <c r="C101" i="2"/>
  <c r="C107" i="2" s="1"/>
  <c r="C10" i="10"/>
  <c r="G36" i="2"/>
  <c r="G42" i="2" s="1"/>
  <c r="G43" i="2" s="1"/>
  <c r="J43" i="1"/>
  <c r="J19" i="1"/>
  <c r="G611" i="1" s="1"/>
  <c r="G12" i="2"/>
  <c r="G19" i="2" s="1"/>
  <c r="G636" i="1"/>
  <c r="G621" i="1"/>
  <c r="J621" i="1" s="1"/>
  <c r="D96" i="2"/>
  <c r="C12" i="12"/>
  <c r="C11" i="12"/>
  <c r="C10" i="12"/>
  <c r="C13" i="12" s="1"/>
  <c r="A13" i="12" s="1"/>
  <c r="E54" i="2"/>
  <c r="E55" i="2" s="1"/>
  <c r="H33" i="13"/>
  <c r="C25" i="13"/>
  <c r="D29" i="13"/>
  <c r="C29" i="13" s="1"/>
  <c r="L354" i="1"/>
  <c r="F651" i="1"/>
  <c r="I651" i="1" s="1"/>
  <c r="D119" i="2"/>
  <c r="D120" i="2" s="1"/>
  <c r="D137" i="2" s="1"/>
  <c r="J614" i="1"/>
  <c r="L561" i="1"/>
  <c r="J610" i="1"/>
  <c r="E73" i="2"/>
  <c r="J632" i="1"/>
  <c r="G651" i="1"/>
  <c r="J613" i="1"/>
  <c r="I653" i="1"/>
  <c r="C12" i="10"/>
  <c r="L524" i="1"/>
  <c r="C111" i="2"/>
  <c r="C120" i="2" s="1"/>
  <c r="E116" i="2"/>
  <c r="E120" i="2" s="1"/>
  <c r="E137" i="2" s="1"/>
  <c r="G104" i="1"/>
  <c r="G185" i="1" s="1"/>
  <c r="G618" i="1" s="1"/>
  <c r="J618" i="1" s="1"/>
  <c r="C20" i="12"/>
  <c r="C22" i="12" s="1"/>
  <c r="A22" i="12" s="1"/>
  <c r="L514" i="1"/>
  <c r="L535" i="1" s="1"/>
  <c r="L374" i="1"/>
  <c r="G626" i="1" s="1"/>
  <c r="J626" i="1" s="1"/>
  <c r="H161" i="1"/>
  <c r="H185" i="1" s="1"/>
  <c r="G619" i="1" s="1"/>
  <c r="J619" i="1" s="1"/>
  <c r="C21" i="12"/>
  <c r="L282" i="1"/>
  <c r="C21" i="10"/>
  <c r="F104" i="1"/>
  <c r="F185" i="1" s="1"/>
  <c r="G617" i="1" s="1"/>
  <c r="J617" i="1" s="1"/>
  <c r="D19" i="13"/>
  <c r="C19" i="13" s="1"/>
  <c r="D15" i="13"/>
  <c r="C15" i="13" s="1"/>
  <c r="D12" i="13"/>
  <c r="C12" i="13" s="1"/>
  <c r="D6" i="13"/>
  <c r="C6" i="13" s="1"/>
  <c r="K490" i="1"/>
  <c r="C115" i="2"/>
  <c r="C48" i="2"/>
  <c r="C55" i="2" s="1"/>
  <c r="C96" i="2" s="1"/>
  <c r="F33" i="13"/>
  <c r="L221" i="1"/>
  <c r="G650" i="1" s="1"/>
  <c r="G654" i="1" s="1"/>
  <c r="C19" i="10"/>
  <c r="G161" i="1"/>
  <c r="C114" i="2"/>
  <c r="C36" i="10" l="1"/>
  <c r="D21" i="10"/>
  <c r="D12" i="10"/>
  <c r="E96" i="2"/>
  <c r="G616" i="1"/>
  <c r="J44" i="1"/>
  <c r="H611" i="1" s="1"/>
  <c r="J611" i="1" s="1"/>
  <c r="D19" i="10"/>
  <c r="D31" i="13"/>
  <c r="C31" i="13" s="1"/>
  <c r="L330" i="1"/>
  <c r="L344" i="1" s="1"/>
  <c r="G623" i="1" s="1"/>
  <c r="J623" i="1" s="1"/>
  <c r="H636" i="1"/>
  <c r="G627" i="1"/>
  <c r="J627" i="1" s="1"/>
  <c r="G662" i="1"/>
  <c r="G657" i="1"/>
  <c r="G625" i="1"/>
  <c r="J625" i="1" s="1"/>
  <c r="C27" i="10"/>
  <c r="C28" i="10"/>
  <c r="D10" i="10"/>
  <c r="J636" i="1"/>
  <c r="C137" i="2"/>
  <c r="H657" i="1"/>
  <c r="H662" i="1"/>
  <c r="C6" i="10" s="1"/>
  <c r="F650" i="1"/>
  <c r="L249" i="1"/>
  <c r="L263" i="1" s="1"/>
  <c r="G622" i="1" s="1"/>
  <c r="J622" i="1" s="1"/>
  <c r="D22" i="10" l="1"/>
  <c r="D23" i="10"/>
  <c r="C30" i="10"/>
  <c r="D13" i="10"/>
  <c r="D25" i="10"/>
  <c r="D11" i="10"/>
  <c r="D28" i="10" s="1"/>
  <c r="D26" i="10"/>
  <c r="D15" i="10"/>
  <c r="D20" i="10"/>
  <c r="D24" i="10"/>
  <c r="D17" i="10"/>
  <c r="D18" i="10"/>
  <c r="D16" i="10"/>
  <c r="J616" i="1"/>
  <c r="H646" i="1"/>
  <c r="D27" i="10"/>
  <c r="D36" i="10"/>
  <c r="C41" i="10"/>
  <c r="F654" i="1"/>
  <c r="I650" i="1"/>
  <c r="I654" i="1" s="1"/>
  <c r="D33" i="13"/>
  <c r="D36" i="13" s="1"/>
  <c r="I657" i="1" l="1"/>
  <c r="I662" i="1"/>
  <c r="C7" i="10" s="1"/>
  <c r="F662" i="1"/>
  <c r="C4" i="10" s="1"/>
  <c r="F657" i="1"/>
  <c r="D37" i="10"/>
  <c r="D40" i="10"/>
  <c r="D35" i="10"/>
  <c r="D38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DFF8618-6AD4-482D-B70D-3570D323278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F6CF5C0-27E3-4A56-AF09-8B77EF0E119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ACA857F-6BD8-4C7B-8747-1CB742D8B98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4000100-DBE9-4181-A0BF-91ED2C2490C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AE980A5-BB6E-416A-BEB2-D49BC03B073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AB5ECF2-36A6-435B-8DAA-56313D27FDA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2A59204-0935-4CFE-982A-E6EB65625FC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E3F1505-266D-4E9D-887D-C29F876E6D1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C455C6F-8FE2-4A5B-8106-0074DB974F2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441A5BE-8097-40EC-8B8C-1696C231BC9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4ACADB7-AEFE-445E-8D4D-CB5AA391A2F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B9DDC3E-EDD4-4B78-AAA9-36803341D7E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<sst xmlns="http://schemas.openxmlformats.org/spreadsheetml/2006/main" count="3861" uniqueCount="898">
  <si>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</si>
  <si>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</si>
  <si>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</si>
  <si>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</si>
  <si>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</si>
  <si>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</si>
  <si>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</si>
  <si>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</si>
  <si>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</si>
  <si>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</si>
  <si>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</si>
  <si>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</si>
  <si>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</si>
  <si>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</si>
  <si>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</si>
  <si>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</si>
  <si>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</si>
  <si>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</si>
  <si>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</si>
  <si>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</si>
  <si>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</si>
  <si>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</si>
  <si>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</si>
  <si>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</si>
  <si>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</si>
  <si>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</si>
  <si>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</si>
  <si>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</si>
  <si>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</si>
  <si>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</si>
  <si>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</si>
  <si>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</si>
  <si>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</si>
  <si>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</si>
  <si>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</si>
  <si>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</si>
  <si>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</si>
  <si>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</si>
  <si>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</si>
  <si>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</si>
  <si>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</si>
  <si>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</si>
  <si>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</si>
  <si>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</si>
  <si>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</si>
  <si>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</si>
  <si>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</si>
  <si>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</si>
  <si>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</si>
  <si>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</si>
  <si>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</si>
  <si>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</si>
  <si>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</si>
  <si>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</si>
  <si>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</si>
  <si>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</si>
  <si>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</si>
  <si>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</si>
  <si>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</si>
  <si>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</si>
  <si>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</si>
  <si>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</si>
  <si>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</si>
  <si>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</si>
  <si>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</si>
  <si>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</si>
  <si>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</si>
  <si>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</si>
  <si>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</si>
  <si>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</si>
  <si>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</si>
  <si>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</si>
  <si>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</si>
  <si>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</si>
  <si>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</si>
  <si>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</si>
  <si>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</si>
  <si>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</si>
  <si>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</si>
  <si>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</si>
  <si>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</si>
  <si>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</si>
  <si>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</si>
  <si>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</si>
  <si>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</si>
  <si>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</si>
  <si>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</si>
  <si>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</si>
  <si>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</si>
  <si>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</si>
  <si>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</si>
  <si>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</si>
  <si>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</si>
  <si>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</si>
  <si>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</si>
  <si>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</si>
  <si>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</si>
  <si>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</si>
  <si>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</si>
  <si>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</si>
  <si>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</si>
  <si>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</si>
  <si>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</si>
  <si>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</si>
  <si>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</si>
  <si>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</si>
  <si>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</si>
  <si>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</si>
  <si>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</si>
  <si>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</si>
  <si>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</si>
  <si>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</si>
  <si>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</si>
  <si>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</si>
  <si>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</si>
  <si>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</si>
  <si>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</si>
  <si>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</si>
  <si>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</si>
  <si>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</si>
  <si>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</si>
  <si>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</si>
  <si>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</si>
  <si>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</si>
  <si>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</si>
  <si>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</si>
  <si>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</si>
  <si>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</si>
  <si>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</si>
  <si>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</si>
  <si>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</si>
  <si>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</si>
  <si>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</si>
  <si>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</si>
  <si>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</si>
  <si>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</si>
  <si>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</si>
  <si>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</si>
  <si>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</si>
  <si>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</si>
  <si>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</si>
  <si>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</si>
  <si>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</si>
  <si>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</si>
  <si>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</si>
  <si>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</si>
  <si>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</si>
  <si>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</si>
  <si>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</si>
  <si>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</si>
  <si>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</si>
  <si>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</si>
  <si>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</si>
  <si>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</si>
  <si>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</si>
  <si>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</si>
  <si>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</si>
  <si>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</si>
  <si>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</si>
  <si>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</si>
  <si>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</si>
  <si>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</si>
  <si>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</si>
  <si>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</si>
  <si>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</si>
  <si>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</si>
  <si>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</si>
  <si>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</si>
  <si>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</si>
  <si>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</si>
  <si>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</si>
  <si>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</si>
  <si>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</si>
  <si>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</si>
  <si>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</si>
  <si>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</si>
  <si>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</si>
  <si>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</si>
  <si>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</si>
  <si>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</si>
  <si>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</si>
  <si>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</si>
  <si>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</si>
  <si>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</si>
  <si>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</si>
  <si>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</si>
  <si>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</si>
  <si>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</si>
  <si>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</si>
  <si>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</si>
  <si>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</si>
  <si>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</si>
  <si>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</si>
  <si>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</si>
  <si>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</si>
  <si>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</si>
  <si>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</si>
  <si>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</si>
  <si>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</si>
  <si>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</si>
  <si>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</si>
  <si>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</si>
  <si>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</si>
  <si>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</si>
  <si>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</si>
  <si>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</si>
  <si>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</si>
  <si>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</si>
  <si>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</si>
  <si>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</si>
  <si>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</si>
  <si>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</si>
  <si>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</si>
  <si>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</si>
  <si>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</si>
  <si>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</si>
  <si>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</si>
  <si>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</si>
  <si>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</si>
  <si>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</si>
  <si>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</si>
  <si>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</si>
  <si>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</si>
  <si>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</si>
  <si>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</si>
  <si>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</si>
  <si>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</si>
  <si>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</si>
  <si>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</si>
  <si>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</si>
  <si>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</si>
  <si>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</si>
  <si>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</si>
  <si>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</si>
  <si>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</si>
  <si>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</si>
  <si>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</si>
  <si>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</si>
  <si>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</si>
  <si>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</si>
  <si>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</si>
  <si>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</si>
  <si>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</si>
  <si>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</si>
  <si>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</si>
  <si>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</si>
  <si>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</si>
  <si>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</si>
  <si>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</si>
  <si>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</si>
  <si>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</si>
  <si>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</si>
  <si>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</si>
  <si>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</si>
  <si>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</si>
  <si>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</si>
  <si>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</si>
  <si>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</si>
  <si>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</si>
  <si>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</si>
  <si>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</si>
  <si>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</si>
  <si>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</si>
  <si>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</si>
  <si>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</si>
  <si>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</si>
  <si>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</si>
  <si>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</si>
  <si>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</si>
  <si>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</si>
  <si>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</si>
  <si>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</si>
  <si>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</si>
  <si>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</si>
  <si>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</si>
  <si>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</si>
  <si>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</si>
  <si>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</si>
  <si>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</si>
  <si>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</si>
  <si>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</si>
  <si>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</si>
  <si>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</si>
  <si>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</si>
  <si>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</si>
  <si>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</si>
  <si>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</si>
  <si>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</si>
  <si>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</si>
  <si>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</si>
  <si>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</si>
  <si>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</si>
  <si>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</si>
  <si>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</si>
  <si>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</si>
  <si>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</si>
  <si>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</si>
  <si>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</si>
  <si>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</si>
  <si>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</si>
  <si>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</si>
  <si>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</si>
  <si>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</si>
  <si>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</si>
  <si>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</si>
  <si>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</si>
  <si>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</si>
  <si>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</si>
  <si>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</si>
  <si>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</si>
  <si>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</si>
  <si>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</si>
  <si>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</si>
  <si>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</si>
  <si>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</si>
  <si>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</si>
  <si>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</si>
  <si>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</si>
  <si>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</si>
  <si>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</si>
  <si>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</si>
  <si>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</si>
  <si>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</si>
  <si>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</si>
  <si>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</si>
  <si>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</si>
  <si>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</si>
  <si>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</si>
  <si>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</si>
  <si>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</si>
  <si>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</si>
  <si>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</si>
  <si>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</si>
  <si>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</si>
  <si>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</si>
  <si>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</si>
  <si>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</si>
  <si>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</si>
  <si>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</si>
  <si>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</si>
  <si>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</si>
  <si>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</si>
  <si>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</si>
  <si>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</si>
  <si>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</si>
  <si>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</si>
  <si>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</si>
  <si>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</si>
  <si>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</si>
  <si>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</si>
  <si>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</si>
  <si>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</si>
  <si>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</si>
  <si>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</si>
  <si>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</si>
  <si>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</si>
  <si>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</si>
  <si>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</si>
  <si>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</si>
  <si>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</si>
  <si>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</si>
  <si>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</si>
  <si>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</si>
  <si>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</si>
  <si>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</si>
  <si>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</si>
  <si>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</si>
  <si>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</si>
  <si>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</si>
  <si>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</si>
  <si>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</si>
  <si>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</si>
  <si>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</si>
  <si>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</si>
  <si>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</si>
  <si>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</si>
  <si>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</si>
  <si>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</si>
  <si>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</si>
  <si>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</si>
  <si>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</si>
  <si>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</si>
  <si>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</si>
  <si>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</si>
  <si>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</si>
  <si>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</si>
  <si>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</si>
  <si>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</si>
  <si>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</si>
  <si>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</si>
  <si>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</si>
  <si>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</si>
  <si>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</si>
  <si>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</si>
  <si>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</si>
  <si>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</si>
  <si>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</si>
  <si>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</si>
  <si>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</si>
  <si>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</si>
  <si>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</si>
  <si>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</si>
  <si>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</si>
  <si>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</si>
  <si>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</si>
  <si>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</si>
  <si>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</si>
  <si>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</si>
  <si>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</si>
  <si>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</si>
  <si>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</si>
  <si>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</si>
  <si>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</si>
  <si>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</si>
  <si>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</si>
  <si>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</si>
  <si>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</si>
  <si>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</si>
  <si>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</si>
  <si>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</si>
  <si>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</si>
  <si>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</si>
  <si>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</si>
  <si>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</si>
  <si>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</si>
  <si>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</si>
  <si>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</si>
  <si>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</si>
  <si>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</si>
  <si>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</si>
  <si>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</si>
  <si>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</si>
  <si>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</si>
  <si>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</si>
  <si>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</si>
  <si>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</si>
  <si>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</si>
  <si>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</si>
  <si>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</si>
  <si>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</si>
  <si>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</si>
  <si>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</si>
  <si>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</si>
  <si>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</si>
  <si>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</si>
  <si>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</si>
  <si>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</si>
  <si>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</si>
  <si>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</si>
  <si>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</si>
  <si>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</si>
  <si>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</si>
  <si>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</si>
  <si>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</si>
  <si>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</si>
  <si>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</si>
  <si>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</si>
  <si>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</si>
  <si>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</si>
  <si>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</si>
  <si>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</si>
  <si>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</si>
  <si>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</si>
  <si>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</si>
  <si>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</si>
  <si>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</si>
  <si>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</si>
  <si>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</si>
  <si>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</si>
  <si>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</si>
  <si>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</si>
  <si>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</si>
  <si>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</si>
  <si>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</si>
  <si>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</si>
  <si>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</si>
  <si>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</si>
  <si>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</si>
  <si>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</si>
  <si>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</si>
  <si>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</si>
  <si>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</si>
  <si>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</si>
  <si>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</si>
  <si>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</si>
  <si>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</si>
  <si>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</si>
  <si>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</si>
  <si>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</si>
  <si>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</si>
  <si>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</si>
  <si>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</si>
  <si>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</si>
  <si>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</si>
  <si>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</si>
  <si>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</si>
  <si>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</si>
  <si>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</si>
  <si>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</si>
  <si>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</si>
  <si>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</si>
  <si>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</si>
  <si>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</si>
  <si>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</si>
  <si>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</si>
  <si>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</si>
  <si>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</si>
  <si>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</si>
  <si>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</si>
  <si>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</si>
  <si>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</si>
  <si>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</si>
  <si>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</si>
  <si>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</si>
  <si>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</si>
  <si>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</si>
  <si>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</si>
  <si>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</si>
  <si>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</si>
  <si>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</si>
  <si>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</si>
  <si>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</si>
  <si>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</si>
  <si>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</si>
  <si>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</si>
  <si>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</si>
  <si>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</si>
  <si>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</si>
  <si>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</si>
  <si>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</si>
  <si>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</si>
  <si>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</si>
  <si>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</si>
  <si>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</si>
  <si>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</si>
  <si>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</si>
  <si>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</si>
  <si>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</si>
  <si>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</si>
  <si>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</si>
  <si>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</si>
  <si>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</si>
  <si>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</si>
  <si>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</si>
  <si>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</si>
  <si>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</si>
  <si>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</si>
  <si>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</si>
  <si>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</si>
  <si>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</si>
  <si>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</si>
  <si>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</si>
  <si>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</si>
  <si>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</si>
  <si>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</si>
  <si>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</si>
  <si>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</si>
  <si>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</si>
  <si>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</si>
  <si>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</si>
  <si>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</si>
  <si>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</si>
  <si>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</si>
  <si>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</si>
  <si>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</si>
  <si>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</si>
  <si>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</si>
  <si>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</si>
  <si>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</si>
  <si>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</si>
  <si>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</si>
  <si>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</si>
  <si>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</si>
  <si>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</si>
  <si>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</si>
  <si>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</si>
  <si>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</si>
  <si>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</si>
  <si>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</si>
  <si>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</si>
  <si>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</si>
  <si>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</si>
  <si>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</si>
  <si>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</si>
  <si>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</si>
  <si>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</si>
  <si>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</si>
  <si>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</si>
  <si>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</si>
  <si>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</si>
  <si>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</si>
  <si>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</si>
  <si>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</si>
  <si>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</si>
  <si>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</si>
  <si>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</si>
  <si>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</si>
  <si>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</si>
  <si>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</si>
  <si>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</si>
  <si>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</si>
  <si>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</si>
  <si>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</si>
  <si>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</si>
  <si>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</si>
  <si>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</si>
  <si>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</si>
  <si>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</si>
  <si>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</si>
  <si>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</si>
  <si>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</si>
  <si>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</si>
  <si>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</si>
  <si>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</si>
  <si>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</si>
  <si>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</si>
  <si>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</si>
  <si>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</si>
  <si>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</si>
  <si>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</si>
  <si>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</si>
  <si>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</si>
  <si>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</si>
  <si>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</si>
  <si>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</si>
  <si>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</si>
  <si>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</si>
  <si>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</si>
  <si>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</si>
  <si>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</si>
  <si>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</si>
  <si>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</si>
  <si>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</si>
  <si>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</si>
  <si>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</si>
  <si>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</si>
  <si>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</si>
  <si>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</si>
  <si>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</si>
  <si>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</si>
  <si>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</si>
  <si>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</si>
  <si>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</si>
  <si>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</si>
  <si>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</si>
  <si>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</si>
  <si>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</si>
  <si>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</si>
  <si>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</si>
  <si>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</si>
  <si>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</si>
  <si>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</si>
  <si>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</si>
  <si>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</si>
  <si>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</si>
  <si>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</si>
  <si>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</si>
  <si>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</si>
  <si>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</si>
  <si>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</si>
  <si>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</si>
  <si>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</si>
  <si>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</si>
  <si>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</si>
  <si>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</si>
  <si>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</si>
  <si>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</si>
  <si>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</si>
  <si>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</si>
  <si>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</si>
  <si>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</si>
  <si>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</si>
  <si>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</si>
  <si>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</si>
  <si>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</si>
  <si>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</si>
  <si>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</si>
  <si>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</si>
  <si>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</si>
  <si>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</si>
  <si>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</si>
  <si>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</si>
  <si>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</si>
  <si>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</si>
  <si>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</si>
  <si>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</si>
  <si>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</si>
  <si>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</si>
  <si>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</si>
  <si>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</si>
  <si>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</si>
  <si>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</si>
  <si>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</si>
  <si>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</si>
  <si>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</si>
  <si>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</si>
  <si>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</si>
  <si>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</si>
  <si>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</si>
  <si>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</si>
  <si>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</si>
  <si>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</si>
  <si>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</si>
  <si>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</si>
  <si>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</si>
  <si>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</si>
  <si>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</si>
  <si>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</si>
  <si>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</si>
  <si>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</si>
  <si>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</si>
  <si>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</si>
  <si>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</si>
  <si>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</si>
  <si>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</si>
  <si>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</si>
  <si>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</si>
  <si>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</si>
  <si>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</si>
  <si>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</si>
  <si>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</si>
  <si>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</si>
  <si>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</si>
  <si>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</si>
  <si>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</si>
  <si>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</si>
  <si>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</si>
  <si>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</si>
  <si>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</si>
  <si>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</si>
  <si>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</si>
  <si>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</si>
  <si>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</si>
  <si>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</si>
  <si>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</si>
  <si>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</si>
  <si>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</si>
  <si>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</si>
  <si>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</si>
  <si>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</si>
  <si>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</si>
  <si>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</si>
  <si>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</si>
  <si>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</si>
  <si>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</si>
  <si>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</si>
  <si>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</si>
  <si>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</si>
  <si>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</si>
  <si>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</si>
  <si>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</si>
  <si>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</si>
  <si>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</si>
  <si>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</si>
  <si>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</si>
  <si>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</si>
  <si>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</si>
  <si>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</si>
  <si>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</si>
  <si>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</si>
  <si>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</si>
  <si>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</si>
  <si>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</si>
  <si>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</si>
  <si>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</si>
  <si>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</si>
  <si>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</si>
  <si>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</si>
  <si>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</si>
  <si>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</si>
  <si>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</si>
  <si>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</si>
  <si>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</si>
  <si>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</si>
  <si>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</si>
  <si>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</si>
  <si>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</si>
  <si>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</si>
  <si>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</si>
  <si>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</si>
  <si>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</si>
  <si>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</si>
  <si>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</si>
  <si>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</si>
  <si>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</si>
  <si>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</si>
  <si>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</si>
  <si>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</si>
  <si>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</si>
  <si>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</si>
  <si>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</si>
  <si>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</si>
  <si>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</si>
  <si>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</si>
  <si>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</si>
  <si>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</si>
  <si>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</si>
  <si>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</si>
  <si>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</si>
  <si>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</si>
  <si>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</si>
  <si>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</si>
  <si>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</si>
  <si>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</si>
  <si>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</si>
  <si>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</si>
  <si>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</si>
  <si>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</si>
  <si>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</si>
  <si>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</si>
  <si>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</si>
  <si>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</si>
  <si>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</si>
  <si>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</si>
  <si>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</si>
  <si>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</si>
  <si>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</si>
  <si>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</si>
  <si>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</si>
  <si>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</si>
  <si>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</si>
  <si>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</si>
  <si>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</si>
  <si>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</si>
  <si>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</si>
  <si>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</si>
  <si>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</si>
  <si>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</si>
  <si>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</si>
  <si>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</si>
  <si>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</si>
  <si>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</si>
  <si>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</si>
  <si>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</si>
  <si>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</si>
  <si>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</si>
  <si>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</si>
  <si>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</si>
  <si>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</si>
  <si>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</si>
  <si>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</si>
  <si>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</si>
  <si>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</si>
  <si>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</si>
  <si>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</si>
  <si>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</si>
  <si>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</si>
  <si>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</si>
  <si>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</si>
  <si>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</si>
  <si>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</si>
  <si>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</si>
  <si>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</si>
  <si>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</si>
  <si>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</si>
  <si>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</si>
  <si>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</si>
  <si>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</si>
  <si>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</si>
  <si>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</si>
  <si>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</si>
  <si>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</si>
  <si>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</si>
  <si>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</si>
  <si>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</si>
  <si>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</si>
  <si>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</si>
  <si>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</si>
  <si>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</si>
  <si>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</si>
  <si>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</si>
  <si>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</si>
  <si>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</si>
  <si>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</si>
  <si>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</si>
  <si>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</si>
  <si>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</si>
  <si>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</si>
  <si>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</si>
  <si>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</si>
  <si>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</si>
  <si>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</si>
  <si>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</si>
  <si>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</si>
  <si>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</si>
  <si>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</si>
  <si>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</si>
  <si>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</si>
  <si>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</si>
  <si>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</si>
  <si>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</si>
  <si>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</si>
  <si>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</si>
  <si>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</si>
  <si>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Expendable trust funds were omitted on prior year reports.</t>
  </si>
  <si>
    <t>08/10</t>
  </si>
  <si>
    <t>07/01</t>
  </si>
  <si>
    <t>PELHAM SCHOOL DISTIRCT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</si>
</sst>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F6C-6643-4CBF-A0D9-B051EDEE6ED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425</v>
      </c>
      <c r="C2" s="21">
        <v>425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39921.910000000003</v>
      </c>
      <c r="G9" s="18"/>
      <c r="H9" s="18"/>
      <c r="I9" s="18"/>
      <c r="J9" s="67">
        <f>SUM(I431)</f>
        <v>176367.3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2684.25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721060.07</v>
      </c>
      <c r="G12" s="18">
        <v>119604.02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172821.37</v>
      </c>
      <c r="G13" s="18">
        <v>11316.76</v>
      </c>
      <c r="H13" s="18">
        <v>722334.66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1081.06</v>
      </c>
      <c r="G14" s="18">
        <v>1052.46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14621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949505.41</v>
      </c>
      <c r="G19" s="41">
        <f>SUM(G9:G18)</f>
        <v>131973.24</v>
      </c>
      <c r="H19" s="41">
        <f>SUM(H9:H18)</f>
        <v>722334.66</v>
      </c>
      <c r="I19" s="41">
        <f>SUM(I9:I18)</f>
        <v>0</v>
      </c>
      <c r="J19" s="41">
        <f>SUM(J9:J18)</f>
        <v>179051.55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274426</v>
      </c>
      <c r="G24" s="18"/>
      <c r="H24" s="18">
        <v>721060.09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344640.79</v>
      </c>
      <c r="G25" s="18"/>
      <c r="H25" s="18">
        <v>1274.57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67876</v>
      </c>
      <c r="G30" s="18">
        <v>2.16</v>
      </c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15008.85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686942.79</v>
      </c>
      <c r="G33" s="41">
        <f>SUM(G23:G32)</f>
        <v>15011.01</v>
      </c>
      <c r="H33" s="41">
        <f>SUM(H23:H32)</f>
        <v>722334.65999999992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50000</v>
      </c>
      <c r="G41" s="18">
        <v>116962.23</v>
      </c>
      <c r="H41" s="18"/>
      <c r="I41" s="18"/>
      <c r="J41" s="13">
        <f>SUM(I449)</f>
        <v>179051.55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212562.62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262562.62</v>
      </c>
      <c r="G43" s="41">
        <f>SUM(G35:G42)</f>
        <v>116962.23</v>
      </c>
      <c r="H43" s="41">
        <f>SUM(H35:H42)</f>
        <v>0</v>
      </c>
      <c r="I43" s="41">
        <f>SUM(I35:I42)</f>
        <v>0</v>
      </c>
      <c r="J43" s="41">
        <f>SUM(J35:J42)</f>
        <v>179051.55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949505.41</v>
      </c>
      <c r="G44" s="41">
        <f>G43+G33</f>
        <v>131973.24</v>
      </c>
      <c r="H44" s="41">
        <f>H43+H33</f>
        <v>722334.65999999992</v>
      </c>
      <c r="I44" s="41">
        <f>I43+I33</f>
        <v>0</v>
      </c>
      <c r="J44" s="41">
        <f>J43+J33</f>
        <v>179051.55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14799983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14799983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33600.6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33600.6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6811.94</v>
      </c>
      <c r="G88" s="18"/>
      <c r="H88" s="18"/>
      <c r="I88" s="18"/>
      <c r="J88" s="18">
        <v>881.38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664204.6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13034.5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150.02000000000001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120669.11</v>
      </c>
      <c r="G102" s="18">
        <v>10956.87</v>
      </c>
      <c r="H102" s="18"/>
      <c r="I102" s="18"/>
      <c r="J102" s="18">
        <v>2684.25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140515.54999999999</v>
      </c>
      <c r="G103" s="41">
        <f>SUM(G88:G102)</f>
        <v>675161.47</v>
      </c>
      <c r="H103" s="41">
        <f>SUM(H88:H102)</f>
        <v>0</v>
      </c>
      <c r="I103" s="41">
        <f>SUM(I88:I102)</f>
        <v>0</v>
      </c>
      <c r="J103" s="41">
        <f>SUM(J88:J102)</f>
        <v>3715.65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14974099.15</v>
      </c>
      <c r="G104" s="41">
        <f>G52+G103</f>
        <v>675161.47</v>
      </c>
      <c r="H104" s="41">
        <f>H52+H71+H86+H103</f>
        <v>0</v>
      </c>
      <c r="I104" s="41">
        <f>I52+I103</f>
        <v>0</v>
      </c>
      <c r="J104" s="41">
        <f>J52+J103</f>
        <v>3715.65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2594442.91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3456341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995407.09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7046191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310500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506284.01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100050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190201.55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8921.7199999999993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16843.150000000001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1126157.28</v>
      </c>
      <c r="G128" s="41">
        <f>SUM(G115:G127)</f>
        <v>16843.150000000001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8172348.2800000003</v>
      </c>
      <c r="G132" s="41">
        <f>G113+SUM(G128:G129)</f>
        <v>16843.150000000001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189596.55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110406.39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87310.94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742535.4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109270.2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109270.2</v>
      </c>
      <c r="G154" s="41">
        <f>SUM(G142:G153)</f>
        <v>87310.94</v>
      </c>
      <c r="H154" s="41">
        <f>SUM(H142:H153)</f>
        <v>1042538.3400000001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109270.2</v>
      </c>
      <c r="G161" s="41">
        <f>G139+G154+SUM(G155:G160)</f>
        <v>87310.94</v>
      </c>
      <c r="H161" s="41">
        <f>H139+H154+SUM(H155:H160)</f>
        <v>1042538.3400000001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23255717.629999999</v>
      </c>
      <c r="G185" s="47">
        <f>G104+G132+G161+G184</f>
        <v>779315.56</v>
      </c>
      <c r="H185" s="47">
        <f>H104+H132+H161+H184</f>
        <v>1042538.3400000001</v>
      </c>
      <c r="I185" s="47">
        <f>I104+I132+I161+I184</f>
        <v>0</v>
      </c>
      <c r="J185" s="47">
        <f>J104+J132+J184</f>
        <v>53715.65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4070409.01</v>
      </c>
      <c r="G189" s="18">
        <v>1679568.45</v>
      </c>
      <c r="H189" s="18">
        <f>30022.03-0.02</f>
        <v>30022.01</v>
      </c>
      <c r="I189" s="18">
        <v>241412.59</v>
      </c>
      <c r="J189" s="18">
        <v>72135.710000000006</v>
      </c>
      <c r="K189" s="18">
        <v>8710.35</v>
      </c>
      <c r="L189" s="19">
        <f>SUM(F189:K189)</f>
        <v>6102258.1199999992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1657697.73</v>
      </c>
      <c r="G190" s="18">
        <v>672458.69</v>
      </c>
      <c r="H190" s="18">
        <v>616372.16</v>
      </c>
      <c r="I190" s="18">
        <v>23315.5</v>
      </c>
      <c r="J190" s="18">
        <v>28042.49</v>
      </c>
      <c r="K190" s="18">
        <v>12825.36</v>
      </c>
      <c r="L190" s="19">
        <f>SUM(F190:K190)</f>
        <v>3010711.93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62899.88</v>
      </c>
      <c r="G192" s="18"/>
      <c r="H192" s="18">
        <v>20006.68</v>
      </c>
      <c r="I192" s="18">
        <v>4415.22</v>
      </c>
      <c r="J192" s="18"/>
      <c r="K192" s="18"/>
      <c r="L192" s="19">
        <f>SUM(F192:K192)</f>
        <v>87321.78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700530.7</v>
      </c>
      <c r="G194" s="18">
        <v>309652.49</v>
      </c>
      <c r="H194" s="18">
        <v>255121.5</v>
      </c>
      <c r="I194" s="18">
        <v>37829.480000000003</v>
      </c>
      <c r="J194" s="18">
        <v>15269.39</v>
      </c>
      <c r="K194" s="18">
        <v>0</v>
      </c>
      <c r="L194" s="19">
        <f t="shared" ref="L194:L200" si="0">SUM(F194:K194)</f>
        <v>1318403.5599999998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149374.84</v>
      </c>
      <c r="G195" s="18">
        <v>82180.22</v>
      </c>
      <c r="H195" s="18">
        <v>117980.63</v>
      </c>
      <c r="I195" s="18">
        <v>42610.18</v>
      </c>
      <c r="J195" s="18">
        <v>70288.37</v>
      </c>
      <c r="K195" s="18"/>
      <c r="L195" s="19">
        <f t="shared" si="0"/>
        <v>462434.24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124316.95</v>
      </c>
      <c r="G196" s="18">
        <v>44516.26</v>
      </c>
      <c r="H196" s="18">
        <v>501245.88</v>
      </c>
      <c r="I196" s="18">
        <v>4454.43</v>
      </c>
      <c r="J196" s="18">
        <v>4610.29</v>
      </c>
      <c r="K196" s="18">
        <v>6325.54</v>
      </c>
      <c r="L196" s="19">
        <f t="shared" si="0"/>
        <v>685469.35000000009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483034.78</v>
      </c>
      <c r="G197" s="18">
        <v>223813.39</v>
      </c>
      <c r="H197" s="18">
        <v>7417.23</v>
      </c>
      <c r="I197" s="18">
        <v>9685.3799999999992</v>
      </c>
      <c r="J197" s="18"/>
      <c r="K197" s="18">
        <v>4335.93</v>
      </c>
      <c r="L197" s="19">
        <f t="shared" si="0"/>
        <v>728286.71000000008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321123</v>
      </c>
      <c r="G199" s="18">
        <v>132597.51</v>
      </c>
      <c r="H199" s="18">
        <v>771890.56</v>
      </c>
      <c r="I199" s="18">
        <v>312275.56</v>
      </c>
      <c r="J199" s="18">
        <v>149.9</v>
      </c>
      <c r="K199" s="18"/>
      <c r="L199" s="19">
        <f t="shared" si="0"/>
        <v>1538036.53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5720.32</v>
      </c>
      <c r="G200" s="18"/>
      <c r="H200" s="18">
        <v>712337.43</v>
      </c>
      <c r="I200" s="18"/>
      <c r="J200" s="18"/>
      <c r="K200" s="18"/>
      <c r="L200" s="19">
        <f t="shared" si="0"/>
        <v>718057.75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39431.699999999997</v>
      </c>
      <c r="I201" s="18"/>
      <c r="J201" s="18"/>
      <c r="K201" s="18"/>
      <c r="L201" s="19">
        <f>SUM(F201:K201)</f>
        <v>39431.699999999997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7575107.2100000009</v>
      </c>
      <c r="G203" s="41">
        <f t="shared" si="1"/>
        <v>3144787.01</v>
      </c>
      <c r="H203" s="41">
        <f t="shared" si="1"/>
        <v>3071825.7800000007</v>
      </c>
      <c r="I203" s="41">
        <f t="shared" si="1"/>
        <v>675998.33999999985</v>
      </c>
      <c r="J203" s="41">
        <f t="shared" si="1"/>
        <v>190496.15000000002</v>
      </c>
      <c r="K203" s="41">
        <f t="shared" si="1"/>
        <v>32197.18</v>
      </c>
      <c r="L203" s="41">
        <f t="shared" si="1"/>
        <v>14690411.669999998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2321762.13</v>
      </c>
      <c r="G225" s="18">
        <v>795585.06</v>
      </c>
      <c r="H225" s="18">
        <v>18621.07</v>
      </c>
      <c r="I225" s="18">
        <v>139212.09</v>
      </c>
      <c r="J225" s="18">
        <v>108556.16</v>
      </c>
      <c r="K225" s="18">
        <v>3733.01</v>
      </c>
      <c r="L225" s="19">
        <f>SUM(F225:K225)</f>
        <v>3387469.5199999996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361463.85</v>
      </c>
      <c r="G226" s="18">
        <v>136656.57</v>
      </c>
      <c r="H226" s="18">
        <v>264159.5</v>
      </c>
      <c r="I226" s="18">
        <v>6062.95</v>
      </c>
      <c r="J226" s="18">
        <v>2277.48</v>
      </c>
      <c r="K226" s="18">
        <v>5496.58</v>
      </c>
      <c r="L226" s="19">
        <f>SUM(F226:K226)</f>
        <v>776116.92999999982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/>
      <c r="H227" s="18">
        <v>37019.339999999997</v>
      </c>
      <c r="I227" s="18">
        <v>0</v>
      </c>
      <c r="J227" s="18">
        <v>0</v>
      </c>
      <c r="K227" s="18"/>
      <c r="L227" s="19">
        <f>SUM(F227:K227)</f>
        <v>37019.339999999997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189797.49</v>
      </c>
      <c r="G228" s="18">
        <v>44199.17</v>
      </c>
      <c r="H228" s="18">
        <v>69137.17</v>
      </c>
      <c r="I228" s="18">
        <v>52026.32</v>
      </c>
      <c r="J228" s="18">
        <v>0</v>
      </c>
      <c r="K228" s="18">
        <v>1496</v>
      </c>
      <c r="L228" s="19">
        <f>SUM(F228:K228)</f>
        <v>356656.14999999997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384148.11</v>
      </c>
      <c r="G230" s="18">
        <v>132708.21</v>
      </c>
      <c r="H230" s="18">
        <v>108270.45</v>
      </c>
      <c r="I230" s="18">
        <v>17176.39</v>
      </c>
      <c r="J230" s="18">
        <v>1886.94</v>
      </c>
      <c r="K230" s="18">
        <v>600</v>
      </c>
      <c r="L230" s="19">
        <f t="shared" ref="L230:L236" si="4">SUM(F230:K230)</f>
        <v>644790.09999999986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53774.84</v>
      </c>
      <c r="G231" s="18">
        <v>60476.76</v>
      </c>
      <c r="H231" s="18">
        <v>62310.51</v>
      </c>
      <c r="I231" s="18">
        <v>45330.81</v>
      </c>
      <c r="J231" s="18">
        <v>32373.119999999999</v>
      </c>
      <c r="K231" s="18">
        <v>0</v>
      </c>
      <c r="L231" s="19">
        <f t="shared" si="4"/>
        <v>254266.04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26612.98</v>
      </c>
      <c r="G232" s="18">
        <v>135.9</v>
      </c>
      <c r="H232" s="18">
        <v>213970.73</v>
      </c>
      <c r="I232" s="18">
        <v>795.68</v>
      </c>
      <c r="J232" s="18">
        <v>0</v>
      </c>
      <c r="K232" s="18">
        <v>2710.94</v>
      </c>
      <c r="L232" s="19">
        <f t="shared" si="4"/>
        <v>244226.23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230223.47</v>
      </c>
      <c r="G233" s="18">
        <v>88398.34</v>
      </c>
      <c r="H233" s="18">
        <v>6304.89</v>
      </c>
      <c r="I233" s="18">
        <v>10336.08</v>
      </c>
      <c r="J233" s="18">
        <v>0</v>
      </c>
      <c r="K233" s="18">
        <v>13211.88</v>
      </c>
      <c r="L233" s="19">
        <f t="shared" si="4"/>
        <v>348474.66000000003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/>
      <c r="H234" s="18"/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240406.37</v>
      </c>
      <c r="G235" s="18">
        <v>88398.34</v>
      </c>
      <c r="H235" s="18">
        <v>227490.49</v>
      </c>
      <c r="I235" s="18">
        <v>173496.14</v>
      </c>
      <c r="J235" s="18">
        <v>0</v>
      </c>
      <c r="K235" s="18">
        <v>0</v>
      </c>
      <c r="L235" s="19">
        <f t="shared" si="4"/>
        <v>729791.34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2451.56</v>
      </c>
      <c r="G236" s="18"/>
      <c r="H236" s="18">
        <v>448746.7</v>
      </c>
      <c r="I236" s="18">
        <v>0</v>
      </c>
      <c r="J236" s="18">
        <v>0</v>
      </c>
      <c r="K236" s="18">
        <v>0</v>
      </c>
      <c r="L236" s="19">
        <f t="shared" si="4"/>
        <v>451198.26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/>
      <c r="H237" s="18">
        <v>16899.3</v>
      </c>
      <c r="I237" s="18">
        <v>0</v>
      </c>
      <c r="J237" s="18">
        <v>0</v>
      </c>
      <c r="K237" s="18">
        <v>0</v>
      </c>
      <c r="L237" s="19">
        <f>SUM(F237:K237)</f>
        <v>16899.3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3810640.8</v>
      </c>
      <c r="G239" s="41">
        <f t="shared" si="5"/>
        <v>1346558.3500000003</v>
      </c>
      <c r="H239" s="41">
        <f t="shared" si="5"/>
        <v>1472930.1500000001</v>
      </c>
      <c r="I239" s="41">
        <f t="shared" si="5"/>
        <v>444436.46</v>
      </c>
      <c r="J239" s="41">
        <f t="shared" si="5"/>
        <v>145093.70000000001</v>
      </c>
      <c r="K239" s="41">
        <f t="shared" si="5"/>
        <v>27248.41</v>
      </c>
      <c r="L239" s="41">
        <f t="shared" si="5"/>
        <v>7246907.8699999992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688230.07</v>
      </c>
      <c r="I247" s="18"/>
      <c r="J247" s="18"/>
      <c r="K247" s="18"/>
      <c r="L247" s="19">
        <f t="shared" si="6"/>
        <v>688230.07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688230.07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688230.07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11385748.010000002</v>
      </c>
      <c r="G249" s="41">
        <f t="shared" si="8"/>
        <v>4491345.3600000003</v>
      </c>
      <c r="H249" s="41">
        <f t="shared" si="8"/>
        <v>5232986.0000000009</v>
      </c>
      <c r="I249" s="41">
        <f t="shared" si="8"/>
        <v>1120434.7999999998</v>
      </c>
      <c r="J249" s="41">
        <f t="shared" si="8"/>
        <v>335589.85000000003</v>
      </c>
      <c r="K249" s="41">
        <f t="shared" si="8"/>
        <v>59445.59</v>
      </c>
      <c r="L249" s="41">
        <f t="shared" si="8"/>
        <v>22625549.609999999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1035000</v>
      </c>
      <c r="L252" s="19">
        <f>SUM(F252:K252)</f>
        <v>1035000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77525</v>
      </c>
      <c r="L253" s="19">
        <f>SUM(F253:K253)</f>
        <v>77525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1162525</v>
      </c>
      <c r="L262" s="41">
        <f t="shared" si="9"/>
        <v>1162525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11385748.010000002</v>
      </c>
      <c r="G263" s="42">
        <f t="shared" si="11"/>
        <v>4491345.3600000003</v>
      </c>
      <c r="H263" s="42">
        <f t="shared" si="11"/>
        <v>5232986.0000000009</v>
      </c>
      <c r="I263" s="42">
        <f t="shared" si="11"/>
        <v>1120434.7999999998</v>
      </c>
      <c r="J263" s="42">
        <f t="shared" si="11"/>
        <v>335589.85000000003</v>
      </c>
      <c r="K263" s="42">
        <f t="shared" si="11"/>
        <v>1221970.5900000001</v>
      </c>
      <c r="L263" s="42">
        <f t="shared" si="11"/>
        <v>23788074.609999999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146361.45-0.01</f>
        <v>146361.44</v>
      </c>
      <c r="G268" s="18">
        <v>17670.2</v>
      </c>
      <c r="H268" s="18">
        <v>6100</v>
      </c>
      <c r="I268" s="18">
        <v>14447.98</v>
      </c>
      <c r="J268" s="18">
        <v>2670.18</v>
      </c>
      <c r="K268" s="18">
        <v>0</v>
      </c>
      <c r="L268" s="19">
        <f>SUM(F268:K268)</f>
        <v>187249.80000000002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226581.6</v>
      </c>
      <c r="G269" s="18">
        <v>20061.07</v>
      </c>
      <c r="H269" s="18">
        <v>70574.28</v>
      </c>
      <c r="I269" s="18">
        <v>15665.53</v>
      </c>
      <c r="J269" s="18">
        <v>0</v>
      </c>
      <c r="K269" s="18">
        <v>0</v>
      </c>
      <c r="L269" s="19">
        <f>SUM(F269:K269)</f>
        <v>332882.48000000004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418.46</v>
      </c>
      <c r="J271" s="18"/>
      <c r="K271" s="18"/>
      <c r="L271" s="19">
        <f>SUM(F271:K271)</f>
        <v>418.46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36110.629999999997</v>
      </c>
      <c r="G274" s="18">
        <v>2964.55</v>
      </c>
      <c r="H274" s="18">
        <v>38424.400000000001</v>
      </c>
      <c r="I274" s="18">
        <v>7224.74</v>
      </c>
      <c r="J274" s="18">
        <v>0</v>
      </c>
      <c r="K274" s="18">
        <v>0</v>
      </c>
      <c r="L274" s="19">
        <f t="shared" si="12"/>
        <v>84724.32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22200</v>
      </c>
      <c r="G275" s="18">
        <v>32227.38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54427.380000000005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>
        <v>425.4</v>
      </c>
      <c r="J276" s="18"/>
      <c r="K276" s="18"/>
      <c r="L276" s="19">
        <f t="shared" si="12"/>
        <v>425.4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431253.67000000004</v>
      </c>
      <c r="G282" s="42">
        <f t="shared" si="13"/>
        <v>72923.200000000012</v>
      </c>
      <c r="H282" s="42">
        <f t="shared" si="13"/>
        <v>115098.68</v>
      </c>
      <c r="I282" s="42">
        <f t="shared" si="13"/>
        <v>38182.11</v>
      </c>
      <c r="J282" s="42">
        <f t="shared" si="13"/>
        <v>2670.18</v>
      </c>
      <c r="K282" s="42">
        <f t="shared" si="13"/>
        <v>0</v>
      </c>
      <c r="L282" s="41">
        <f t="shared" si="13"/>
        <v>660127.84000000008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715</v>
      </c>
      <c r="G306" s="18">
        <v>63.92</v>
      </c>
      <c r="H306" s="18">
        <v>1481.68</v>
      </c>
      <c r="I306" s="18"/>
      <c r="J306" s="18">
        <v>0</v>
      </c>
      <c r="K306" s="18"/>
      <c r="L306" s="19">
        <f>SUM(F306:K306)</f>
        <v>2260.6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269038.07</v>
      </c>
      <c r="G307" s="18">
        <v>35940.080000000002</v>
      </c>
      <c r="H307" s="18">
        <v>31889.33</v>
      </c>
      <c r="I307" s="18">
        <v>14288.57</v>
      </c>
      <c r="J307" s="18">
        <v>0</v>
      </c>
      <c r="K307" s="18">
        <v>0</v>
      </c>
      <c r="L307" s="19">
        <f>SUM(F307:K307)</f>
        <v>351156.05000000005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2500</v>
      </c>
      <c r="I311" s="18"/>
      <c r="J311" s="18"/>
      <c r="K311" s="18"/>
      <c r="L311" s="19">
        <f t="shared" ref="L311:L317" si="16">SUM(F311:K311)</f>
        <v>2500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5062.38</v>
      </c>
      <c r="G312" s="18">
        <v>492.29</v>
      </c>
      <c r="H312" s="18">
        <v>1782.6</v>
      </c>
      <c r="I312" s="18">
        <v>33.450000000000003</v>
      </c>
      <c r="J312" s="18">
        <v>0</v>
      </c>
      <c r="K312" s="18">
        <v>0</v>
      </c>
      <c r="L312" s="19">
        <f t="shared" si="16"/>
        <v>7370.72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7800</v>
      </c>
      <c r="G313" s="18">
        <v>11323.13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19123.129999999997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282615.45</v>
      </c>
      <c r="G320" s="42">
        <f t="shared" si="17"/>
        <v>47819.42</v>
      </c>
      <c r="H320" s="42">
        <f t="shared" si="17"/>
        <v>37653.61</v>
      </c>
      <c r="I320" s="42">
        <f t="shared" si="17"/>
        <v>14322.02</v>
      </c>
      <c r="J320" s="42">
        <f t="shared" si="17"/>
        <v>0</v>
      </c>
      <c r="K320" s="42">
        <f t="shared" si="17"/>
        <v>0</v>
      </c>
      <c r="L320" s="41">
        <f t="shared" si="17"/>
        <v>382410.5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713869.12000000011</v>
      </c>
      <c r="G330" s="41">
        <f t="shared" si="20"/>
        <v>120742.62000000001</v>
      </c>
      <c r="H330" s="41">
        <f t="shared" si="20"/>
        <v>152752.28999999998</v>
      </c>
      <c r="I330" s="41">
        <f t="shared" si="20"/>
        <v>52504.130000000005</v>
      </c>
      <c r="J330" s="41">
        <f t="shared" si="20"/>
        <v>2670.18</v>
      </c>
      <c r="K330" s="41">
        <f t="shared" si="20"/>
        <v>0</v>
      </c>
      <c r="L330" s="41">
        <f t="shared" si="20"/>
        <v>1042538.3400000001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713869.12000000011</v>
      </c>
      <c r="G344" s="41">
        <f>G330</f>
        <v>120742.62000000001</v>
      </c>
      <c r="H344" s="41">
        <f>H330</f>
        <v>152752.28999999998</v>
      </c>
      <c r="I344" s="41">
        <f>I330</f>
        <v>52504.130000000005</v>
      </c>
      <c r="J344" s="41">
        <f>J330</f>
        <v>2670.18</v>
      </c>
      <c r="K344" s="47">
        <f>K330+K343</f>
        <v>0</v>
      </c>
      <c r="L344" s="41">
        <f>L330+L343</f>
        <v>1042538.3400000001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186250.87</v>
      </c>
      <c r="G350" s="18">
        <v>23859.919999999998</v>
      </c>
      <c r="H350" s="18">
        <f>16348.93-0.01</f>
        <v>16348.92</v>
      </c>
      <c r="I350" s="18">
        <v>220811.59</v>
      </c>
      <c r="J350" s="18">
        <v>8637.5</v>
      </c>
      <c r="K350" s="18">
        <v>222.08</v>
      </c>
      <c r="L350" s="13">
        <f>SUM(F350:K350)</f>
        <v>456130.88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78605.48</v>
      </c>
      <c r="G352" s="18">
        <v>10225.68</v>
      </c>
      <c r="H352" s="18">
        <v>5587.44</v>
      </c>
      <c r="I352" s="18">
        <v>125911.22</v>
      </c>
      <c r="J352" s="18">
        <v>8745.74</v>
      </c>
      <c r="K352" s="18">
        <v>95.18</v>
      </c>
      <c r="L352" s="19">
        <f>SUM(F352:K352)</f>
        <v>229170.74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264856.34999999998</v>
      </c>
      <c r="G354" s="47">
        <f t="shared" si="22"/>
        <v>34085.599999999999</v>
      </c>
      <c r="H354" s="47">
        <f t="shared" si="22"/>
        <v>21936.36</v>
      </c>
      <c r="I354" s="47">
        <f t="shared" si="22"/>
        <v>346722.81</v>
      </c>
      <c r="J354" s="47">
        <f t="shared" si="22"/>
        <v>17383.239999999998</v>
      </c>
      <c r="K354" s="47">
        <f t="shared" si="22"/>
        <v>317.26</v>
      </c>
      <c r="L354" s="47">
        <f t="shared" si="22"/>
        <v>685301.62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213852.18</v>
      </c>
      <c r="G359" s="18"/>
      <c r="H359" s="18">
        <v>120508.56</v>
      </c>
      <c r="I359" s="56">
        <f>SUM(F359:H359)</f>
        <v>334360.74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6959.41</v>
      </c>
      <c r="G360" s="63"/>
      <c r="H360" s="63">
        <v>5402.66</v>
      </c>
      <c r="I360" s="56">
        <f>SUM(F360:H360)</f>
        <v>12362.07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220811.59</v>
      </c>
      <c r="G361" s="47">
        <f>SUM(G359:G360)</f>
        <v>0</v>
      </c>
      <c r="H361" s="47">
        <f>SUM(H359:H360)</f>
        <v>125911.22</v>
      </c>
      <c r="I361" s="47">
        <f>SUM(I359:I360)</f>
        <v>346722.81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f>17.8+57.68</f>
        <v>75.48</v>
      </c>
      <c r="I379" s="18"/>
      <c r="J379" s="24" t="s">
        <v>312</v>
      </c>
      <c r="K379" s="24" t="s">
        <v>312</v>
      </c>
      <c r="L379" s="56">
        <f t="shared" ref="L379:L384" si="25">SUM(F379:K379)</f>
        <v>75.48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186.15</v>
      </c>
      <c r="I383" s="18"/>
      <c r="J383" s="24" t="s">
        <v>312</v>
      </c>
      <c r="K383" s="24" t="s">
        <v>312</v>
      </c>
      <c r="L383" s="56">
        <f t="shared" si="25"/>
        <v>186.15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261.63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261.63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f>130.3+279.03+9.74+10.42</f>
        <v>429.49</v>
      </c>
      <c r="I388" s="18">
        <f>150.02+2684.25</f>
        <v>2834.27</v>
      </c>
      <c r="J388" s="24" t="s">
        <v>312</v>
      </c>
      <c r="K388" s="24" t="s">
        <v>312</v>
      </c>
      <c r="L388" s="56">
        <f t="shared" si="26"/>
        <v>53263.759999999995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53.24+32.09+52.26+26.41+26.26</f>
        <v>190.26</v>
      </c>
      <c r="I392" s="18"/>
      <c r="J392" s="24" t="s">
        <v>312</v>
      </c>
      <c r="K392" s="24" t="s">
        <v>312</v>
      </c>
      <c r="L392" s="56">
        <f t="shared" si="26"/>
        <v>190.26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619.75</v>
      </c>
      <c r="I393" s="47">
        <f>SUM(I387:I392)</f>
        <v>2834.27</v>
      </c>
      <c r="J393" s="45" t="s">
        <v>312</v>
      </c>
      <c r="K393" s="45" t="s">
        <v>312</v>
      </c>
      <c r="L393" s="47">
        <f>SUM(L387:L392)</f>
        <v>53454.02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881.38</v>
      </c>
      <c r="I400" s="47">
        <f>I385+I393+I399</f>
        <v>2834.27</v>
      </c>
      <c r="J400" s="24" t="s">
        <v>312</v>
      </c>
      <c r="K400" s="24" t="s">
        <v>312</v>
      </c>
      <c r="L400" s="47">
        <f>L385+L393+L399</f>
        <v>53715.649999999994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17473.71</v>
      </c>
      <c r="I414" s="18"/>
      <c r="J414" s="18"/>
      <c r="K414" s="18"/>
      <c r="L414" s="56">
        <f t="shared" si="29"/>
        <v>17473.71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450</v>
      </c>
      <c r="I418" s="18"/>
      <c r="J418" s="18"/>
      <c r="K418" s="18"/>
      <c r="L418" s="56">
        <f t="shared" si="29"/>
        <v>450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17923.71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17923.71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17923.71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17923.71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50741.58</v>
      </c>
      <c r="G431" s="18">
        <v>125625.72</v>
      </c>
      <c r="H431" s="18"/>
      <c r="I431" s="56">
        <f t="shared" ref="I431:I437" si="33">SUM(F431:H431)</f>
        <v>176367.3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2684.25</v>
      </c>
      <c r="H432" s="18"/>
      <c r="I432" s="56">
        <f t="shared" si="33"/>
        <v>2684.25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50741.58</v>
      </c>
      <c r="G438" s="13">
        <f>SUM(G431:G437)</f>
        <v>128309.97</v>
      </c>
      <c r="H438" s="13">
        <f>SUM(H431:H437)</f>
        <v>0</v>
      </c>
      <c r="I438" s="13">
        <f>SUM(I431:I437)</f>
        <v>179051.55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50741.58</v>
      </c>
      <c r="G449" s="18">
        <v>128309.97</v>
      </c>
      <c r="H449" s="18"/>
      <c r="I449" s="56">
        <f>SUM(F449:H449)</f>
        <v>179051.55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50741.58</v>
      </c>
      <c r="G450" s="83">
        <f>SUM(G446:G449)</f>
        <v>128309.97</v>
      </c>
      <c r="H450" s="83">
        <f>SUM(H446:H449)</f>
        <v>0</v>
      </c>
      <c r="I450" s="83">
        <f>SUM(I446:I449)</f>
        <v>179051.55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50741.58</v>
      </c>
      <c r="G451" s="42">
        <f>G444+G450</f>
        <v>128309.97</v>
      </c>
      <c r="H451" s="42">
        <f>H444+H450</f>
        <v>0</v>
      </c>
      <c r="I451" s="42">
        <f>I444+I450</f>
        <v>179051.55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794919.6</v>
      </c>
      <c r="G455" s="18">
        <v>22948.29</v>
      </c>
      <c r="H455" s="18"/>
      <c r="I455" s="18"/>
      <c r="J455" s="18">
        <v>143259.60999999999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23255717.629999999</v>
      </c>
      <c r="G458" s="18">
        <v>779315.56</v>
      </c>
      <c r="H458" s="18">
        <v>1042538.34</v>
      </c>
      <c r="I458" s="18"/>
      <c r="J458" s="18">
        <f>50150.02+2684.25+881.38</f>
        <v>53715.649999999994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23255717.629999999</v>
      </c>
      <c r="G460" s="53">
        <f>SUM(G458:G459)</f>
        <v>779315.56</v>
      </c>
      <c r="H460" s="53">
        <f>SUM(H458:H459)</f>
        <v>1042538.34</v>
      </c>
      <c r="I460" s="53">
        <f>SUM(I458:I459)</f>
        <v>0</v>
      </c>
      <c r="J460" s="53">
        <f>SUM(J458:J459)</f>
        <v>53715.649999999994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23788074.609999999</v>
      </c>
      <c r="G462" s="18">
        <v>685301.62</v>
      </c>
      <c r="H462" s="18">
        <v>1042538.34</v>
      </c>
      <c r="I462" s="18"/>
      <c r="J462" s="18">
        <f>150+100+100+100+17473.71</f>
        <v>17923.71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23788074.609999999</v>
      </c>
      <c r="G464" s="53">
        <f>SUM(G462:G463)</f>
        <v>685301.62</v>
      </c>
      <c r="H464" s="53">
        <f>SUM(H462:H463)</f>
        <v>1042538.34</v>
      </c>
      <c r="I464" s="53">
        <f>SUM(I462:I463)</f>
        <v>0</v>
      </c>
      <c r="J464" s="53">
        <f>SUM(J462:J463)</f>
        <v>17923.71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262562.62000000104</v>
      </c>
      <c r="G466" s="53">
        <f>(G455+G460)- G464</f>
        <v>116962.2300000001</v>
      </c>
      <c r="H466" s="53">
        <f>(H455+H460)- H464</f>
        <v>0</v>
      </c>
      <c r="I466" s="53">
        <f>(I455+I460)- I464</f>
        <v>0</v>
      </c>
      <c r="J466" s="53">
        <f>(J455+J460)- J464</f>
        <v>179051.55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10373000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2070000</v>
      </c>
      <c r="G485" s="18"/>
      <c r="H485" s="18"/>
      <c r="I485" s="18"/>
      <c r="J485" s="18"/>
      <c r="K485" s="53">
        <f>SUM(F485:J485)</f>
        <v>2070000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2070000</v>
      </c>
      <c r="G488" s="205"/>
      <c r="H488" s="205"/>
      <c r="I488" s="205"/>
      <c r="J488" s="205"/>
      <c r="K488" s="206">
        <f t="shared" si="34"/>
        <v>2070000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77525</v>
      </c>
      <c r="G489" s="18"/>
      <c r="H489" s="18"/>
      <c r="I489" s="18"/>
      <c r="J489" s="18"/>
      <c r="K489" s="53">
        <f t="shared" si="34"/>
        <v>77525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2147525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2147525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1035000</v>
      </c>
      <c r="G491" s="205"/>
      <c r="H491" s="205"/>
      <c r="I491" s="205"/>
      <c r="J491" s="205"/>
      <c r="K491" s="206">
        <f t="shared" si="34"/>
        <v>1035000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25825</v>
      </c>
      <c r="G492" s="18"/>
      <c r="H492" s="18"/>
      <c r="I492" s="18"/>
      <c r="J492" s="18"/>
      <c r="K492" s="53">
        <f t="shared" si="34"/>
        <v>25825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1060825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1060825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1657697.73</v>
      </c>
      <c r="G511" s="18">
        <v>681929.84</v>
      </c>
      <c r="H511" s="18">
        <v>616372.16</v>
      </c>
      <c r="I511" s="18">
        <v>23315.5</v>
      </c>
      <c r="J511" s="18">
        <v>28042.49</v>
      </c>
      <c r="K511" s="18">
        <v>12825.36</v>
      </c>
      <c r="L511" s="88">
        <f>SUM(F511:K511)</f>
        <v>3020183.08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361463.85</v>
      </c>
      <c r="G513" s="18">
        <v>140715.64000000001</v>
      </c>
      <c r="H513" s="18">
        <v>264159.5</v>
      </c>
      <c r="I513" s="18">
        <v>6062.95</v>
      </c>
      <c r="J513" s="18">
        <v>2277.48</v>
      </c>
      <c r="K513" s="18">
        <v>5496.58</v>
      </c>
      <c r="L513" s="88">
        <f>SUM(F513:K513)</f>
        <v>780175.99999999988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2019161.58</v>
      </c>
      <c r="G514" s="108">
        <f t="shared" ref="G514:L514" si="35">SUM(G511:G513)</f>
        <v>822645.48</v>
      </c>
      <c r="H514" s="108">
        <f t="shared" si="35"/>
        <v>880531.66</v>
      </c>
      <c r="I514" s="108">
        <f t="shared" si="35"/>
        <v>29378.45</v>
      </c>
      <c r="J514" s="108">
        <f t="shared" si="35"/>
        <v>30319.97</v>
      </c>
      <c r="K514" s="108">
        <f t="shared" si="35"/>
        <v>18321.940000000002</v>
      </c>
      <c r="L514" s="89">
        <f t="shared" si="35"/>
        <v>3800359.08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700530.7</v>
      </c>
      <c r="G516" s="18">
        <v>309652.49</v>
      </c>
      <c r="H516" s="18">
        <v>255121.5</v>
      </c>
      <c r="I516" s="18">
        <v>37829.480000000003</v>
      </c>
      <c r="J516" s="18">
        <v>15269.39</v>
      </c>
      <c r="K516" s="18">
        <v>0</v>
      </c>
      <c r="L516" s="88">
        <f>SUM(F516:K516)</f>
        <v>1318403.5599999998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384148.11</v>
      </c>
      <c r="G518" s="18">
        <v>132708.21</v>
      </c>
      <c r="H518" s="18">
        <v>108270.45</v>
      </c>
      <c r="I518" s="18">
        <v>17176.39</v>
      </c>
      <c r="J518" s="18">
        <v>1886.94</v>
      </c>
      <c r="K518" s="18">
        <v>600</v>
      </c>
      <c r="L518" s="88">
        <f>SUM(F518:K518)</f>
        <v>644790.09999999986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1084678.81</v>
      </c>
      <c r="G519" s="89">
        <f t="shared" ref="G519:L519" si="36">SUM(G516:G518)</f>
        <v>442360.69999999995</v>
      </c>
      <c r="H519" s="89">
        <f t="shared" si="36"/>
        <v>363391.95</v>
      </c>
      <c r="I519" s="89">
        <f t="shared" si="36"/>
        <v>55005.87</v>
      </c>
      <c r="J519" s="89">
        <f t="shared" si="36"/>
        <v>17156.329999999998</v>
      </c>
      <c r="K519" s="89">
        <f t="shared" si="36"/>
        <v>600</v>
      </c>
      <c r="L519" s="89">
        <f t="shared" si="36"/>
        <v>1963193.6599999997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112643.1</v>
      </c>
      <c r="G521" s="18">
        <v>44516.26</v>
      </c>
      <c r="H521" s="18">
        <v>2767.5</v>
      </c>
      <c r="I521" s="18">
        <v>3001.35</v>
      </c>
      <c r="J521" s="18">
        <v>4610.29</v>
      </c>
      <c r="K521" s="18">
        <v>371</v>
      </c>
      <c r="L521" s="88">
        <f>SUM(F521:K521)</f>
        <v>167909.50000000003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21609.9</v>
      </c>
      <c r="G523" s="18">
        <v>88534.24</v>
      </c>
      <c r="H523" s="18">
        <v>337.14</v>
      </c>
      <c r="I523" s="18">
        <v>172.93</v>
      </c>
      <c r="J523" s="18">
        <v>0</v>
      </c>
      <c r="K523" s="18">
        <v>2710.94</v>
      </c>
      <c r="L523" s="88">
        <f>SUM(F523:K523)</f>
        <v>113365.15000000001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134253</v>
      </c>
      <c r="G524" s="89">
        <f t="shared" ref="G524:L524" si="37">SUM(G521:G523)</f>
        <v>133050.5</v>
      </c>
      <c r="H524" s="89">
        <f t="shared" si="37"/>
        <v>3104.64</v>
      </c>
      <c r="I524" s="89">
        <f t="shared" si="37"/>
        <v>3174.2799999999997</v>
      </c>
      <c r="J524" s="89">
        <f t="shared" si="37"/>
        <v>4610.29</v>
      </c>
      <c r="K524" s="89">
        <f t="shared" si="37"/>
        <v>3081.94</v>
      </c>
      <c r="L524" s="89">
        <f t="shared" si="37"/>
        <v>281274.65000000002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263306.37</v>
      </c>
      <c r="I531" s="18"/>
      <c r="J531" s="18"/>
      <c r="K531" s="18"/>
      <c r="L531" s="88">
        <f>SUM(F531:K531)</f>
        <v>263306.37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112845.59</v>
      </c>
      <c r="I533" s="18"/>
      <c r="J533" s="18"/>
      <c r="K533" s="18"/>
      <c r="L533" s="88">
        <f>SUM(F533:K533)</f>
        <v>112845.59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376151.95999999996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376151.95999999996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3238093.39</v>
      </c>
      <c r="G535" s="89">
        <f t="shared" ref="G535:L535" si="40">G514+G519+G524+G529+G534</f>
        <v>1398056.68</v>
      </c>
      <c r="H535" s="89">
        <f t="shared" si="40"/>
        <v>1623180.21</v>
      </c>
      <c r="I535" s="89">
        <f t="shared" si="40"/>
        <v>87558.6</v>
      </c>
      <c r="J535" s="89">
        <f t="shared" si="40"/>
        <v>52086.590000000004</v>
      </c>
      <c r="K535" s="89">
        <f t="shared" si="40"/>
        <v>22003.88</v>
      </c>
      <c r="L535" s="89">
        <f t="shared" si="40"/>
        <v>6420979.3500000006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3020183.08</v>
      </c>
      <c r="G539" s="87">
        <f>L516</f>
        <v>1318403.5599999998</v>
      </c>
      <c r="H539" s="87">
        <f>L521</f>
        <v>167909.50000000003</v>
      </c>
      <c r="I539" s="87">
        <f>L526</f>
        <v>0</v>
      </c>
      <c r="J539" s="87">
        <f>L531</f>
        <v>263306.37</v>
      </c>
      <c r="K539" s="87">
        <f>SUM(F539:J539)</f>
        <v>4769802.51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780175.99999999988</v>
      </c>
      <c r="G541" s="87">
        <f>L518</f>
        <v>644790.09999999986</v>
      </c>
      <c r="H541" s="87">
        <f>L523</f>
        <v>113365.15000000001</v>
      </c>
      <c r="I541" s="87">
        <f>L528</f>
        <v>0</v>
      </c>
      <c r="J541" s="87">
        <f>L533</f>
        <v>112845.59</v>
      </c>
      <c r="K541" s="87">
        <f>SUM(F541:J541)</f>
        <v>1651176.8399999996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3800359.08</v>
      </c>
      <c r="G542" s="89">
        <f t="shared" si="41"/>
        <v>1963193.6599999997</v>
      </c>
      <c r="H542" s="89">
        <f t="shared" si="41"/>
        <v>281274.65000000002</v>
      </c>
      <c r="I542" s="89">
        <f t="shared" si="41"/>
        <v>0</v>
      </c>
      <c r="J542" s="89">
        <f t="shared" si="41"/>
        <v>376151.95999999996</v>
      </c>
      <c r="K542" s="89">
        <f t="shared" si="41"/>
        <v>6420979.3499999996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20318.849999999999</v>
      </c>
      <c r="G569" s="18"/>
      <c r="H569" s="18">
        <v>5079.71</v>
      </c>
      <c r="I569" s="87">
        <f t="shared" si="46"/>
        <v>25398.559999999998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455298.31</v>
      </c>
      <c r="G572" s="18"/>
      <c r="H572" s="18">
        <v>113824.58</v>
      </c>
      <c r="I572" s="87">
        <f t="shared" si="46"/>
        <v>569122.89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188446.25</v>
      </c>
      <c r="I573" s="87">
        <f t="shared" si="46"/>
        <v>188446.25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37019.339999999997</v>
      </c>
      <c r="I574" s="87">
        <f t="shared" si="46"/>
        <v>37019.339999999997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438014.47</v>
      </c>
      <c r="I581" s="18"/>
      <c r="J581" s="18">
        <f>187720.49-0.02</f>
        <v>187720.47</v>
      </c>
      <c r="K581" s="104">
        <f t="shared" ref="K581:K587" si="47">SUM(H581:J581)</f>
        <v>625734.93999999994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263306.37</v>
      </c>
      <c r="I582" s="18"/>
      <c r="J582" s="18">
        <v>112845.59</v>
      </c>
      <c r="K582" s="104">
        <f t="shared" si="47"/>
        <v>376151.95999999996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125526.83</v>
      </c>
      <c r="K583" s="104">
        <f t="shared" si="47"/>
        <v>125526.83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16736.91</v>
      </c>
      <c r="I585" s="18"/>
      <c r="J585" s="18">
        <v>25105.37</v>
      </c>
      <c r="K585" s="104">
        <f t="shared" si="47"/>
        <v>41842.28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718057.75</v>
      </c>
      <c r="I588" s="108">
        <f>SUM(I581:I587)</f>
        <v>0</v>
      </c>
      <c r="J588" s="108">
        <f>SUM(J581:J587)</f>
        <v>451198.26</v>
      </c>
      <c r="K588" s="108">
        <f>SUM(K581:K587)</f>
        <v>1169256.01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193166.33</v>
      </c>
      <c r="I594" s="18"/>
      <c r="J594" s="18">
        <v>145093.70000000001</v>
      </c>
      <c r="K594" s="104">
        <f>SUM(H594:J594)</f>
        <v>338260.03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193166.33</v>
      </c>
      <c r="I595" s="108">
        <f>SUM(I592:I594)</f>
        <v>0</v>
      </c>
      <c r="J595" s="108">
        <f>SUM(J592:J594)</f>
        <v>145093.70000000001</v>
      </c>
      <c r="K595" s="108">
        <f>SUM(K592:K594)</f>
        <v>338260.03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57696.26</v>
      </c>
      <c r="G601" s="18">
        <v>0</v>
      </c>
      <c r="H601" s="18">
        <v>0</v>
      </c>
      <c r="I601" s="18">
        <v>830.11</v>
      </c>
      <c r="J601" s="18">
        <v>0</v>
      </c>
      <c r="K601" s="18">
        <v>0</v>
      </c>
      <c r="L601" s="88">
        <f>SUM(F601:K601)</f>
        <v>58526.37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18586.97</v>
      </c>
      <c r="G603" s="18">
        <v>0</v>
      </c>
      <c r="H603" s="18">
        <v>0</v>
      </c>
      <c r="I603" s="18">
        <v>355.76</v>
      </c>
      <c r="J603" s="18">
        <v>0</v>
      </c>
      <c r="K603" s="18">
        <v>0</v>
      </c>
      <c r="L603" s="88">
        <f>SUM(F603:K603)</f>
        <v>18942.73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76283.23000000001</v>
      </c>
      <c r="G604" s="108">
        <f t="shared" si="48"/>
        <v>0</v>
      </c>
      <c r="H604" s="108">
        <f t="shared" si="48"/>
        <v>0</v>
      </c>
      <c r="I604" s="108">
        <f t="shared" si="48"/>
        <v>1185.8699999999999</v>
      </c>
      <c r="J604" s="108">
        <f t="shared" si="48"/>
        <v>0</v>
      </c>
      <c r="K604" s="108">
        <f t="shared" si="48"/>
        <v>0</v>
      </c>
      <c r="L604" s="89">
        <f t="shared" si="48"/>
        <v>77469.100000000006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949505.41</v>
      </c>
      <c r="H607" s="109">
        <f>SUM(F44)</f>
        <v>949505.41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131973.24</v>
      </c>
      <c r="H608" s="109">
        <f>SUM(G44)</f>
        <v>131973.24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722334.66</v>
      </c>
      <c r="H609" s="109">
        <f>SUM(H44)</f>
        <v>722334.65999999992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179051.55</v>
      </c>
      <c r="H611" s="109">
        <f>SUM(J44)</f>
        <v>179051.55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262562.62</v>
      </c>
      <c r="H612" s="109">
        <f>F466</f>
        <v>262562.62000000104</v>
      </c>
      <c r="I612" s="121" t="s">
        <v>106</v>
      </c>
      <c r="J612" s="109">
        <f t="shared" ref="J612:J645" si="49">G612-H612</f>
        <v>-1.0477378964424133E-9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116962.23</v>
      </c>
      <c r="H613" s="109">
        <f>G466</f>
        <v>116962.2300000001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179051.55</v>
      </c>
      <c r="H616" s="109">
        <f>J466</f>
        <v>179051.55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23255717.629999999</v>
      </c>
      <c r="H617" s="104">
        <f>SUM(F458)</f>
        <v>23255717.629999999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779315.56</v>
      </c>
      <c r="H618" s="104">
        <f>SUM(G458)</f>
        <v>779315.56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1042538.3400000001</v>
      </c>
      <c r="H619" s="104">
        <f>SUM(H458)</f>
        <v>1042538.34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53715.65</v>
      </c>
      <c r="H621" s="104">
        <f>SUM(J458)</f>
        <v>53715.649999999994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23788074.609999999</v>
      </c>
      <c r="H622" s="104">
        <f>SUM(F462)</f>
        <v>23788074.609999999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1042538.3400000001</v>
      </c>
      <c r="H623" s="104">
        <f>SUM(H462)</f>
        <v>1042538.34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346722.81</v>
      </c>
      <c r="H624" s="104">
        <f>I361</f>
        <v>346722.81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685301.62</v>
      </c>
      <c r="H625" s="104">
        <f>SUM(G462)</f>
        <v>685301.62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53715.649999999994</v>
      </c>
      <c r="H627" s="164">
        <f>SUM(J458)</f>
        <v>53715.649999999994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17923.71</v>
      </c>
      <c r="H628" s="164">
        <f>SUM(J462)</f>
        <v>17923.71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50741.58</v>
      </c>
      <c r="H629" s="104">
        <f>SUM(F451)</f>
        <v>50741.58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128309.97</v>
      </c>
      <c r="H630" s="104">
        <f>SUM(G451)</f>
        <v>128309.97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179051.55</v>
      </c>
      <c r="H632" s="104">
        <f>SUM(I451)</f>
        <v>179051.55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881.38</v>
      </c>
      <c r="H634" s="104">
        <f>H400</f>
        <v>881.38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53715.65</v>
      </c>
      <c r="H636" s="104">
        <f>L400</f>
        <v>53715.649999999994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1169256.01</v>
      </c>
      <c r="H637" s="104">
        <f>L200+L218+L236</f>
        <v>1169256.01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338260.03</v>
      </c>
      <c r="H638" s="104">
        <f>(J249+J330)-(J247+J328)</f>
        <v>338260.03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718057.75</v>
      </c>
      <c r="H639" s="104">
        <f>H588</f>
        <v>718057.75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451198.26</v>
      </c>
      <c r="H641" s="104">
        <f>J588</f>
        <v>451198.26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15806670.389999999</v>
      </c>
      <c r="G650" s="19">
        <f>(L221+L301+L351)</f>
        <v>0</v>
      </c>
      <c r="H650" s="19">
        <f>(L239+L320+L352)</f>
        <v>7858489.1099999994</v>
      </c>
      <c r="I650" s="19">
        <f>SUM(F650:H650)</f>
        <v>23665159.5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449381.68313857715</v>
      </c>
      <c r="G651" s="19">
        <f>(L351/IF(SUM(L350:L352)=0,1,SUM(L350:L352))*(SUM(G89:G102)))</f>
        <v>0</v>
      </c>
      <c r="H651" s="19">
        <f>(L352/IF(SUM(L350:L352)=0,1,SUM(L350:L352))*(SUM(G89:G102)))</f>
        <v>225779.78686142285</v>
      </c>
      <c r="I651" s="19">
        <f>SUM(F651:H651)</f>
        <v>675161.47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718057.75</v>
      </c>
      <c r="G652" s="19">
        <f>(L218+L298)-(J218+J298)</f>
        <v>0</v>
      </c>
      <c r="H652" s="19">
        <f>(L236+L317)-(J236+J317)</f>
        <v>451198.26</v>
      </c>
      <c r="I652" s="19">
        <f>SUM(F652:H652)</f>
        <v>1169256.01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727309.86</v>
      </c>
      <c r="G653" s="200">
        <f>SUM(G565:G577)+SUM(I592:I594)+L602</f>
        <v>0</v>
      </c>
      <c r="H653" s="200">
        <f>SUM(H565:H577)+SUM(J592:J594)+L603</f>
        <v>508406.31</v>
      </c>
      <c r="I653" s="19">
        <f>SUM(F653:H653)</f>
        <v>1235716.17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13911921.096861422</v>
      </c>
      <c r="G654" s="19">
        <f>G650-SUM(G651:G653)</f>
        <v>0</v>
      </c>
      <c r="H654" s="19">
        <f>H650-SUM(H651:H653)</f>
        <v>6673104.7531385766</v>
      </c>
      <c r="I654" s="19">
        <f>I650-SUM(I651:I653)</f>
        <v>20585025.850000001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1506.17</v>
      </c>
      <c r="G655" s="249"/>
      <c r="H655" s="249">
        <v>644.9</v>
      </c>
      <c r="I655" s="19">
        <f>SUM(F655:H655)</f>
        <v>2151.0700000000002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9236.6200000000008</v>
      </c>
      <c r="G657" s="19" t="e">
        <f>ROUND(G654/G655,2)</f>
        <v>#DIV/0!</v>
      </c>
      <c r="H657" s="19">
        <f>ROUND(H654/H655,2)</f>
        <v>10347.5</v>
      </c>
      <c r="I657" s="19">
        <f>ROUND(I654/I655,2)</f>
        <v>9569.67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-14.98</v>
      </c>
      <c r="I660" s="19">
        <f>SUM(F660:H660)</f>
        <v>-14.98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9236.6200000000008</v>
      </c>
      <c r="G662" s="19" t="e">
        <f>ROUND((G654+G659)/(G655+G660),2)</f>
        <v>#DIV/0!</v>
      </c>
      <c r="H662" s="19">
        <f>ROUND((H654+H659)/(H655+H660),2)</f>
        <v>10593.57</v>
      </c>
      <c r="I662" s="19">
        <f>ROUND((I654+I659)/(I655+I660),2)</f>
        <v>9636.7800000000007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9193-7EC2-40C6-9BB1-3F9317DB4E1B}">
  <sheetPr>
    <tabColor indexed="20"/>
  </sheetPr>
  <dimension ref="A1:C52"/>
  <sheetViews>
    <sheetView workbookViewId="0">
      <selection activeCell="I45" sqref="I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PELHAM SCHOOL DISTIRCT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6539247.5800000001</v>
      </c>
      <c r="C9" s="230">
        <f>'DOE25'!G189+'DOE25'!G207+'DOE25'!G225+'DOE25'!G268+'DOE25'!G287+'DOE25'!G306</f>
        <v>2492887.63</v>
      </c>
    </row>
    <row r="10" spans="1:3" x14ac:dyDescent="0.2">
      <c r="A10" t="s">
        <v>813</v>
      </c>
      <c r="B10" s="241">
        <f>6074502.5-0.01</f>
        <v>6074502.4900000002</v>
      </c>
      <c r="C10" s="241">
        <f>B10/B$9*C$9</f>
        <v>2315717.8146977574</v>
      </c>
    </row>
    <row r="11" spans="1:3" x14ac:dyDescent="0.2">
      <c r="A11" t="s">
        <v>814</v>
      </c>
      <c r="B11" s="241">
        <v>136216.37</v>
      </c>
      <c r="C11" s="241">
        <f>B11/B$9*C$9</f>
        <v>51928.314323970451</v>
      </c>
    </row>
    <row r="12" spans="1:3" x14ac:dyDescent="0.2">
      <c r="A12" t="s">
        <v>815</v>
      </c>
      <c r="B12" s="241">
        <v>328528.71999999997</v>
      </c>
      <c r="C12" s="241">
        <f>B12/B$9*C$9</f>
        <v>125241.50097827212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6539247.5800000001</v>
      </c>
      <c r="C13" s="232">
        <f>SUM(C10:C12)</f>
        <v>2492887.63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2514781.25</v>
      </c>
      <c r="C18" s="230">
        <f>'DOE25'!G190+'DOE25'!G208+'DOE25'!G226+'DOE25'!G269+'DOE25'!G288+'DOE25'!G307</f>
        <v>865116.40999999992</v>
      </c>
    </row>
    <row r="19" spans="1:3" x14ac:dyDescent="0.2">
      <c r="A19" t="s">
        <v>813</v>
      </c>
      <c r="B19" s="241">
        <v>662120.82999999996</v>
      </c>
      <c r="C19" s="241">
        <f>B19/B$18*C$18</f>
        <v>227777.9013326985</v>
      </c>
    </row>
    <row r="20" spans="1:3" x14ac:dyDescent="0.2">
      <c r="A20" t="s">
        <v>814</v>
      </c>
      <c r="B20" s="241">
        <v>1283094.1299999999</v>
      </c>
      <c r="C20" s="241">
        <f>B20/B$18*C$18</f>
        <v>441400.53431592631</v>
      </c>
    </row>
    <row r="21" spans="1:3" x14ac:dyDescent="0.2">
      <c r="A21" t="s">
        <v>815</v>
      </c>
      <c r="B21" s="241">
        <v>569566.29</v>
      </c>
      <c r="C21" s="241">
        <f>B21/B$18*C$18</f>
        <v>195937.97435137507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2514781.25</v>
      </c>
      <c r="C22" s="232">
        <f>SUM(C19:C21)</f>
        <v>865116.40999999992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252697.37</v>
      </c>
      <c r="C36" s="236">
        <f>'DOE25'!G192+'DOE25'!G210+'DOE25'!G228+'DOE25'!G271+'DOE25'!G290+'DOE25'!G309</f>
        <v>44199.17</v>
      </c>
    </row>
    <row r="37" spans="1:3" x14ac:dyDescent="0.2">
      <c r="A37" t="s">
        <v>813</v>
      </c>
      <c r="B37" s="241">
        <v>252697.37</v>
      </c>
      <c r="C37" s="241">
        <f>C36</f>
        <v>44199.17</v>
      </c>
    </row>
    <row r="38" spans="1:3" x14ac:dyDescent="0.2">
      <c r="A38" t="s">
        <v>814</v>
      </c>
      <c r="B38" s="241">
        <v>0</v>
      </c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252697.37</v>
      </c>
      <c r="C40" s="232">
        <f>SUM(C37:C39)</f>
        <v>44199.17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8826-7C56-4EDA-A058-B9E31D3FA7E7}">
  <sheetPr>
    <tabColor indexed="11"/>
  </sheetPr>
  <dimension ref="A1:I51"/>
  <sheetViews>
    <sheetView workbookViewId="0">
      <pane ySplit="4" topLeftCell="A5" activePane="bottomLeft" state="frozen"/>
      <selection activeCell="I45" sqref="I45"/>
      <selection pane="bottomLeft" activeCell="I45" sqref="I4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PELHAM SCHOOL DISTIRCT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13757553.769999998</v>
      </c>
      <c r="D5" s="20">
        <f>SUM('DOE25'!L189:L192)+SUM('DOE25'!L207:L210)+SUM('DOE25'!L225:L228)-F5-G5</f>
        <v>13514280.629999997</v>
      </c>
      <c r="E5" s="244"/>
      <c r="F5" s="256">
        <f>SUM('DOE25'!J189:J192)+SUM('DOE25'!J207:J210)+SUM('DOE25'!J225:J228)</f>
        <v>211011.84000000003</v>
      </c>
      <c r="G5" s="53">
        <f>SUM('DOE25'!K189:K192)+SUM('DOE25'!K207:K210)+SUM('DOE25'!K225:K228)</f>
        <v>32261.3</v>
      </c>
      <c r="H5" s="260"/>
    </row>
    <row r="6" spans="1:9" x14ac:dyDescent="0.2">
      <c r="A6" s="32">
        <v>2100</v>
      </c>
      <c r="B6" t="s">
        <v>835</v>
      </c>
      <c r="C6" s="246">
        <f t="shared" si="0"/>
        <v>1963193.6599999997</v>
      </c>
      <c r="D6" s="20">
        <f>'DOE25'!L194+'DOE25'!L212+'DOE25'!L230-F6-G6</f>
        <v>1945437.3299999996</v>
      </c>
      <c r="E6" s="244"/>
      <c r="F6" s="256">
        <f>'DOE25'!J194+'DOE25'!J212+'DOE25'!J230</f>
        <v>17156.329999999998</v>
      </c>
      <c r="G6" s="53">
        <f>'DOE25'!K194+'DOE25'!K212+'DOE25'!K230</f>
        <v>600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716700.28</v>
      </c>
      <c r="D7" s="20">
        <f>'DOE25'!L195+'DOE25'!L213+'DOE25'!L231-F7-G7</f>
        <v>614038.79</v>
      </c>
      <c r="E7" s="244"/>
      <c r="F7" s="256">
        <f>'DOE25'!J195+'DOE25'!J213+'DOE25'!J231</f>
        <v>102661.48999999999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725694.75000000012</v>
      </c>
      <c r="D8" s="244"/>
      <c r="E8" s="20">
        <f>'DOE25'!L196+'DOE25'!L214+'DOE25'!L232-F8-G8-D9-D11</f>
        <v>712047.9800000001</v>
      </c>
      <c r="F8" s="256">
        <f>'DOE25'!J196+'DOE25'!J214+'DOE25'!J232</f>
        <v>4610.29</v>
      </c>
      <c r="G8" s="53">
        <f>'DOE25'!K196+'DOE25'!K214+'DOE25'!K232</f>
        <v>9036.48</v>
      </c>
      <c r="H8" s="260"/>
    </row>
    <row r="9" spans="1:9" x14ac:dyDescent="0.2">
      <c r="A9" s="32">
        <v>2310</v>
      </c>
      <c r="B9" t="s">
        <v>852</v>
      </c>
      <c r="C9" s="246">
        <f t="shared" si="0"/>
        <v>28065.59</v>
      </c>
      <c r="D9" s="245">
        <v>28065.59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19023</v>
      </c>
      <c r="D10" s="244"/>
      <c r="E10" s="245">
        <v>19023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175935.24</v>
      </c>
      <c r="D11" s="245">
        <v>175935.24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1076761.3700000001</v>
      </c>
      <c r="D12" s="20">
        <f>'DOE25'!L197+'DOE25'!L215+'DOE25'!L233-F12-G12</f>
        <v>1059213.56</v>
      </c>
      <c r="E12" s="244"/>
      <c r="F12" s="256">
        <f>'DOE25'!J197+'DOE25'!J215+'DOE25'!J233</f>
        <v>0</v>
      </c>
      <c r="G12" s="53">
        <f>'DOE25'!K197+'DOE25'!K215+'DOE25'!K233</f>
        <v>17547.809999999998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2267827.87</v>
      </c>
      <c r="D14" s="20">
        <f>'DOE25'!L199+'DOE25'!L217+'DOE25'!L235-F14-G14</f>
        <v>2267677.9700000002</v>
      </c>
      <c r="E14" s="244"/>
      <c r="F14" s="256">
        <f>'DOE25'!J199+'DOE25'!J217+'DOE25'!J235</f>
        <v>149.9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1169256.01</v>
      </c>
      <c r="D15" s="20">
        <f>'DOE25'!L200+'DOE25'!L218+'DOE25'!L236-F15-G15</f>
        <v>1169256.01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56331</v>
      </c>
      <c r="D16" s="244"/>
      <c r="E16" s="20">
        <f>'DOE25'!L201+'DOE25'!L219+'DOE25'!L237-F16-G16</f>
        <v>56331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688230.07</v>
      </c>
      <c r="D22" s="244"/>
      <c r="E22" s="244"/>
      <c r="F22" s="256">
        <f>'DOE25'!L247+'DOE25'!L328</f>
        <v>688230.07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1112525</v>
      </c>
      <c r="D25" s="244"/>
      <c r="E25" s="244"/>
      <c r="F25" s="259"/>
      <c r="G25" s="257"/>
      <c r="H25" s="258">
        <f>'DOE25'!L252+'DOE25'!L253+'DOE25'!L333+'DOE25'!L334</f>
        <v>1112525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350940.88</v>
      </c>
      <c r="D29" s="20">
        <f>'DOE25'!L350+'DOE25'!L351+'DOE25'!L352-'DOE25'!I359-F29-G29</f>
        <v>333240.38</v>
      </c>
      <c r="E29" s="244"/>
      <c r="F29" s="256">
        <f>'DOE25'!J350+'DOE25'!J351+'DOE25'!J352</f>
        <v>17383.239999999998</v>
      </c>
      <c r="G29" s="53">
        <f>'DOE25'!K350+'DOE25'!K351+'DOE25'!K352</f>
        <v>317.26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1042538.3400000001</v>
      </c>
      <c r="D31" s="20">
        <f>'DOE25'!L282+'DOE25'!L301+'DOE25'!L320+'DOE25'!L325+'DOE25'!L326+'DOE25'!L327-F31-G31</f>
        <v>1039868.16</v>
      </c>
      <c r="E31" s="244"/>
      <c r="F31" s="256">
        <f>'DOE25'!J282+'DOE25'!J301+'DOE25'!J320+'DOE25'!J325+'DOE25'!J326+'DOE25'!J327</f>
        <v>2670.18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22147013.659999996</v>
      </c>
      <c r="E33" s="247">
        <f>SUM(E5:E31)</f>
        <v>787401.9800000001</v>
      </c>
      <c r="F33" s="247">
        <f>SUM(F5:F31)</f>
        <v>1043873.34</v>
      </c>
      <c r="G33" s="247">
        <f>SUM(G5:G31)</f>
        <v>59762.85</v>
      </c>
      <c r="H33" s="247">
        <f>SUM(H5:H31)</f>
        <v>1112525</v>
      </c>
    </row>
    <row r="35" spans="2:8" ht="12" thickBot="1" x14ac:dyDescent="0.25">
      <c r="B35" s="254" t="s">
        <v>881</v>
      </c>
      <c r="D35" s="255">
        <f>E33</f>
        <v>787401.9800000001</v>
      </c>
      <c r="E35" s="250"/>
    </row>
    <row r="36" spans="2:8" ht="12" thickTop="1" x14ac:dyDescent="0.2">
      <c r="B36" t="s">
        <v>849</v>
      </c>
      <c r="D36" s="20">
        <f>D33</f>
        <v>22147013.659999996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C1C5-518B-4392-9D4E-AD44E4C0BD4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activeCell="I45" sqref="I45"/>
      <selection pane="bottomLeft" activeCell="I45" sqref="I4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SCHOOL DISTIRCT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39921.910000000003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176367.3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2684.25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721060.07</v>
      </c>
      <c r="D12" s="95">
        <f>'DOE25'!G12</f>
        <v>119604.02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172821.37</v>
      </c>
      <c r="D13" s="95">
        <f>'DOE25'!G13</f>
        <v>11316.76</v>
      </c>
      <c r="E13" s="95">
        <f>'DOE25'!H13</f>
        <v>722334.66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1081.06</v>
      </c>
      <c r="D14" s="95">
        <f>'DOE25'!G14</f>
        <v>1052.46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14621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949505.41</v>
      </c>
      <c r="D19" s="41">
        <f>SUM(D9:D18)</f>
        <v>131973.24</v>
      </c>
      <c r="E19" s="41">
        <f>SUM(E9:E18)</f>
        <v>722334.66</v>
      </c>
      <c r="F19" s="41">
        <f>SUM(F9:F18)</f>
        <v>0</v>
      </c>
      <c r="G19" s="41">
        <f>SUM(G9:G18)</f>
        <v>179051.55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274426</v>
      </c>
      <c r="D23" s="95">
        <f>'DOE25'!G24</f>
        <v>0</v>
      </c>
      <c r="E23" s="95">
        <f>'DOE25'!H24</f>
        <v>721060.09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344640.79</v>
      </c>
      <c r="D24" s="95">
        <f>'DOE25'!G25</f>
        <v>0</v>
      </c>
      <c r="E24" s="95">
        <f>'DOE25'!H25</f>
        <v>1274.57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67876</v>
      </c>
      <c r="D29" s="95">
        <f>'DOE25'!G30</f>
        <v>2.16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15008.85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686942.79</v>
      </c>
      <c r="D32" s="41">
        <f>SUM(D22:D31)</f>
        <v>15011.01</v>
      </c>
      <c r="E32" s="41">
        <f>SUM(E22:E31)</f>
        <v>722334.65999999992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50000</v>
      </c>
      <c r="D40" s="95">
        <f>'DOE25'!G41</f>
        <v>116962.23</v>
      </c>
      <c r="E40" s="95">
        <f>'DOE25'!H41</f>
        <v>0</v>
      </c>
      <c r="F40" s="95">
        <f>'DOE25'!I41</f>
        <v>0</v>
      </c>
      <c r="G40" s="95">
        <f>'DOE25'!J41</f>
        <v>179051.55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212562.62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262562.62</v>
      </c>
      <c r="D42" s="41">
        <f>SUM(D34:D41)</f>
        <v>116962.23</v>
      </c>
      <c r="E42" s="41">
        <f>SUM(E34:E41)</f>
        <v>0</v>
      </c>
      <c r="F42" s="41">
        <f>SUM(F34:F41)</f>
        <v>0</v>
      </c>
      <c r="G42" s="41">
        <f>SUM(G34:G41)</f>
        <v>179051.55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949505.41</v>
      </c>
      <c r="D43" s="41">
        <f>D42+D32</f>
        <v>131973.24</v>
      </c>
      <c r="E43" s="41">
        <f>E42+E32</f>
        <v>722334.65999999992</v>
      </c>
      <c r="F43" s="41">
        <f>F42+F32</f>
        <v>0</v>
      </c>
      <c r="G43" s="41">
        <f>G42+G32</f>
        <v>179051.55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14799983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33600.6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6811.94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881.38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664204.6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133703.60999999999</v>
      </c>
      <c r="D53" s="95">
        <f>SUM('DOE25'!G90:G102)</f>
        <v>10956.87</v>
      </c>
      <c r="E53" s="95">
        <f>SUM('DOE25'!H90:H102)</f>
        <v>0</v>
      </c>
      <c r="F53" s="95">
        <f>SUM('DOE25'!I90:I102)</f>
        <v>0</v>
      </c>
      <c r="G53" s="95">
        <f>SUM('DOE25'!J90:J102)</f>
        <v>2834.27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174116.15</v>
      </c>
      <c r="D54" s="130">
        <f>SUM(D49:D53)</f>
        <v>675161.47</v>
      </c>
      <c r="E54" s="130">
        <f>SUM(E49:E53)</f>
        <v>0</v>
      </c>
      <c r="F54" s="130">
        <f>SUM(F49:F53)</f>
        <v>0</v>
      </c>
      <c r="G54" s="130">
        <f>SUM(G49:G53)</f>
        <v>3715.65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14974099.15</v>
      </c>
      <c r="D55" s="22">
        <f>D48+D54</f>
        <v>675161.47</v>
      </c>
      <c r="E55" s="22">
        <f>E48+E54</f>
        <v>0</v>
      </c>
      <c r="F55" s="22">
        <f>F48+F54</f>
        <v>0</v>
      </c>
      <c r="G55" s="22">
        <f>G48+G54</f>
        <v>3715.65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2594442.91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3456341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995407.09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7046191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310500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506284.01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100050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190201.55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8921.7199999999993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10200</v>
      </c>
      <c r="D69" s="95">
        <f>SUM('DOE25'!G123:G127)</f>
        <v>16843.150000000001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1126157.28</v>
      </c>
      <c r="D70" s="130">
        <f>SUM(D64:D69)</f>
        <v>16843.150000000001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8172348.2800000003</v>
      </c>
      <c r="D73" s="130">
        <f>SUM(D71:D72)+D70+D62</f>
        <v>16843.150000000001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109270.2</v>
      </c>
      <c r="D80" s="95">
        <f>SUM('DOE25'!G145:G153)</f>
        <v>87310.94</v>
      </c>
      <c r="E80" s="95">
        <f>SUM('DOE25'!H145:H153)</f>
        <v>1042538.3400000001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109270.2</v>
      </c>
      <c r="D83" s="131">
        <f>SUM(D77:D82)</f>
        <v>87310.94</v>
      </c>
      <c r="E83" s="131">
        <f>SUM(E77:E82)</f>
        <v>1042538.3400000001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23255717.629999999</v>
      </c>
      <c r="D96" s="86">
        <f>D55+D73+D83+D95</f>
        <v>779315.56</v>
      </c>
      <c r="E96" s="86">
        <f>E55+E73+E83+E95</f>
        <v>1042538.3400000001</v>
      </c>
      <c r="F96" s="86">
        <f>F55+F73+F83+F95</f>
        <v>0</v>
      </c>
      <c r="G96" s="86">
        <f>G55+G73+G95</f>
        <v>53715.65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9489727.6399999987</v>
      </c>
      <c r="D101" s="24" t="s">
        <v>312</v>
      </c>
      <c r="E101" s="95">
        <f>('DOE25'!L268)+('DOE25'!L287)+('DOE25'!L306)</f>
        <v>189510.40000000002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3786828.86</v>
      </c>
      <c r="D102" s="24" t="s">
        <v>312</v>
      </c>
      <c r="E102" s="95">
        <f>('DOE25'!L269)+('DOE25'!L288)+('DOE25'!L307)</f>
        <v>684038.53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37019.339999999997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443977.92999999993</v>
      </c>
      <c r="D104" s="24" t="s">
        <v>312</v>
      </c>
      <c r="E104" s="95">
        <f>+('DOE25'!L271)+('DOE25'!L290)+('DOE25'!L309)</f>
        <v>418.46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13757553.769999998</v>
      </c>
      <c r="D107" s="86">
        <f>SUM(D101:D106)</f>
        <v>0</v>
      </c>
      <c r="E107" s="86">
        <f>SUM(E101:E106)</f>
        <v>873967.39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1963193.6599999997</v>
      </c>
      <c r="D110" s="24" t="s">
        <v>312</v>
      </c>
      <c r="E110" s="95">
        <f>+('DOE25'!L273)+('DOE25'!L292)+('DOE25'!L311)</f>
        <v>2500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716700.28</v>
      </c>
      <c r="D111" s="24" t="s">
        <v>312</v>
      </c>
      <c r="E111" s="95">
        <f>+('DOE25'!L274)+('DOE25'!L293)+('DOE25'!L312)</f>
        <v>92095.040000000008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929695.58000000007</v>
      </c>
      <c r="D112" s="24" t="s">
        <v>312</v>
      </c>
      <c r="E112" s="95">
        <f>+('DOE25'!L275)+('DOE25'!L294)+('DOE25'!L313)</f>
        <v>73550.510000000009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1076761.3700000001</v>
      </c>
      <c r="D113" s="24" t="s">
        <v>312</v>
      </c>
      <c r="E113" s="95">
        <f>+('DOE25'!L276)+('DOE25'!L295)+('DOE25'!L314)</f>
        <v>425.4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2267827.87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1169256.01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56331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685301.62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8179765.7699999996</v>
      </c>
      <c r="D120" s="86">
        <f>SUM(D110:D119)</f>
        <v>685301.62</v>
      </c>
      <c r="E120" s="86">
        <f>SUM(E110:E119)</f>
        <v>168570.95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688230.07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77525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261.63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53454.02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-3715.6499999999942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1850755.0699999998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23788074.609999999</v>
      </c>
      <c r="D137" s="86">
        <f>(D107+D120+D136)</f>
        <v>685301.62</v>
      </c>
      <c r="E137" s="86">
        <f>(E107+E120+E136)</f>
        <v>1042538.3400000001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10373000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2070000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2070000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2070000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2070000</v>
      </c>
    </row>
    <row r="152" spans="1:7" x14ac:dyDescent="0.2">
      <c r="A152" s="22" t="s">
        <v>36</v>
      </c>
      <c r="B152" s="137">
        <f>'DOE25'!F489</f>
        <v>77525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77525</v>
      </c>
    </row>
    <row r="153" spans="1:7" x14ac:dyDescent="0.2">
      <c r="A153" s="22" t="s">
        <v>37</v>
      </c>
      <c r="B153" s="137">
        <f>'DOE25'!F490</f>
        <v>2147525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2147525</v>
      </c>
    </row>
    <row r="154" spans="1:7" x14ac:dyDescent="0.2">
      <c r="A154" s="22" t="s">
        <v>38</v>
      </c>
      <c r="B154" s="137">
        <f>'DOE25'!F491</f>
        <v>1035000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1035000</v>
      </c>
    </row>
    <row r="155" spans="1:7" x14ac:dyDescent="0.2">
      <c r="A155" s="22" t="s">
        <v>39</v>
      </c>
      <c r="B155" s="137">
        <f>'DOE25'!F492</f>
        <v>25825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25825</v>
      </c>
    </row>
    <row r="156" spans="1:7" x14ac:dyDescent="0.2">
      <c r="A156" s="22" t="s">
        <v>269</v>
      </c>
      <c r="B156" s="137">
        <f>'DOE25'!F493</f>
        <v>1060825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1060825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77D3-F60D-4264-8F19-44246A0DC90A}">
  <sheetPr codeName="Sheet3">
    <tabColor indexed="43"/>
  </sheetPr>
  <dimension ref="A1:D42"/>
  <sheetViews>
    <sheetView workbookViewId="0">
      <selection activeCell="I45" sqref="I4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PELHAM SCHOOL DISTIRCT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9237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10594</v>
      </c>
    </row>
    <row r="7" spans="1:4" x14ac:dyDescent="0.2">
      <c r="B7" t="s">
        <v>736</v>
      </c>
      <c r="C7" s="179">
        <f>IF('DOE25'!I655+'DOE25'!I660=0,0,ROUND('DOE25'!I662,0))</f>
        <v>9637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9679238</v>
      </c>
      <c r="D10" s="182">
        <f>ROUND((C10/$C$28)*100,1)</f>
        <v>42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4470867</v>
      </c>
      <c r="D11" s="182">
        <f>ROUND((C11/$C$28)*100,1)</f>
        <v>19.399999999999999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37019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444396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1965694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808795</v>
      </c>
      <c r="D16" s="182">
        <f t="shared" si="0"/>
        <v>3.5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1059577</v>
      </c>
      <c r="D17" s="182">
        <f t="shared" si="0"/>
        <v>4.5999999999999996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1077187</v>
      </c>
      <c r="D18" s="182">
        <f t="shared" si="0"/>
        <v>4.7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2267828</v>
      </c>
      <c r="D20" s="182">
        <f t="shared" si="0"/>
        <v>9.8000000000000007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1169256</v>
      </c>
      <c r="D21" s="182">
        <f t="shared" si="0"/>
        <v>5.0999999999999996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77525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10140.530000000028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23067522.530000001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688230</v>
      </c>
    </row>
    <row r="30" spans="1:4" x14ac:dyDescent="0.2">
      <c r="B30" s="187" t="s">
        <v>760</v>
      </c>
      <c r="C30" s="180">
        <f>SUM(C28:C29)</f>
        <v>23755752.530000001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1035000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14799983</v>
      </c>
      <c r="D35" s="182">
        <f t="shared" ref="D35:D40" si="1">ROUND((C35/$C$41)*100,1)</f>
        <v>60.6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177831.80000000075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6050784</v>
      </c>
      <c r="D37" s="182">
        <f t="shared" si="1"/>
        <v>24.8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2138408</v>
      </c>
      <c r="D38" s="182">
        <f t="shared" si="1"/>
        <v>8.8000000000000007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1239119</v>
      </c>
      <c r="D39" s="182">
        <f t="shared" si="1"/>
        <v>5.0999999999999996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24406125.800000001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F566-69E7-466A-B7E9-D2C2777D5375}">
  <sheetPr>
    <tabColor indexed="17"/>
  </sheetPr>
  <dimension ref="A1:IV90"/>
  <sheetViews>
    <sheetView workbookViewId="0">
      <pane ySplit="3" topLeftCell="A4" activePane="bottomLeft" state="frozen"/>
      <selection activeCell="I45" sqref="I45"/>
      <selection pane="bottomLeft" activeCell="C45" sqref="C45:M4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PELHAM SCHOOL DISTIRCT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2010-10-21T12:05:06Z</cp:lastPrinted>
  <dcterms:created xsi:type="dcterms:W3CDTF">1997-12-04T19:04:30Z</dcterms:created>
  <dcterms:modified xsi:type="dcterms:W3CDTF">2025-01-09T20:07:05Z</dcterms:modified>
</cp:coreProperties>
</file>