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D6D2336B-CDAC-4D93-AD2A-619AE2C4F644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3E5C467F-034E-4E20-AD6D-8A4704F370B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L189" i="1"/>
  <c r="L190" i="1"/>
  <c r="L191" i="1"/>
  <c r="L192" i="1"/>
  <c r="L207" i="1"/>
  <c r="L208" i="1"/>
  <c r="L209" i="1"/>
  <c r="L210" i="1"/>
  <c r="L225" i="1"/>
  <c r="L239" i="1" s="1"/>
  <c r="L226" i="1"/>
  <c r="L227" i="1"/>
  <c r="C103" i="2" s="1"/>
  <c r="L228" i="1"/>
  <c r="F6" i="13"/>
  <c r="G6" i="13"/>
  <c r="L194" i="1"/>
  <c r="D6" i="13" s="1"/>
  <c r="C6" i="13" s="1"/>
  <c r="L212" i="1"/>
  <c r="L230" i="1"/>
  <c r="F7" i="13"/>
  <c r="G7" i="13"/>
  <c r="L195" i="1"/>
  <c r="L213" i="1"/>
  <c r="D7" i="13" s="1"/>
  <c r="C7" i="13" s="1"/>
  <c r="L231" i="1"/>
  <c r="F12" i="13"/>
  <c r="G12" i="13"/>
  <c r="L197" i="1"/>
  <c r="D12" i="13" s="1"/>
  <c r="C12" i="13" s="1"/>
  <c r="L215" i="1"/>
  <c r="L233" i="1"/>
  <c r="F14" i="13"/>
  <c r="G14" i="13"/>
  <c r="L199" i="1"/>
  <c r="L217" i="1"/>
  <c r="D14" i="13" s="1"/>
  <c r="C14" i="13" s="1"/>
  <c r="L235" i="1"/>
  <c r="F15" i="13"/>
  <c r="G15" i="13"/>
  <c r="L200" i="1"/>
  <c r="D15" i="13" s="1"/>
  <c r="C15" i="13" s="1"/>
  <c r="L218" i="1"/>
  <c r="L236" i="1"/>
  <c r="F17" i="13"/>
  <c r="G17" i="13"/>
  <c r="L243" i="1"/>
  <c r="D17" i="13"/>
  <c r="C17" i="13" s="1"/>
  <c r="F18" i="13"/>
  <c r="G18" i="13"/>
  <c r="D18" i="13" s="1"/>
  <c r="C18" i="13" s="1"/>
  <c r="L244" i="1"/>
  <c r="F19" i="13"/>
  <c r="D19" i="13" s="1"/>
  <c r="C19" i="13" s="1"/>
  <c r="G19" i="13"/>
  <c r="L245" i="1"/>
  <c r="F29" i="13"/>
  <c r="G29" i="13"/>
  <c r="L350" i="1"/>
  <c r="L351" i="1"/>
  <c r="D29" i="13" s="1"/>
  <c r="C29" i="13" s="1"/>
  <c r="L352" i="1"/>
  <c r="I359" i="1"/>
  <c r="J282" i="1"/>
  <c r="F31" i="13" s="1"/>
  <c r="J301" i="1"/>
  <c r="J320" i="1"/>
  <c r="K282" i="1"/>
  <c r="K301" i="1"/>
  <c r="G31" i="13" s="1"/>
  <c r="K320" i="1"/>
  <c r="K330" i="1" s="1"/>
  <c r="K344" i="1" s="1"/>
  <c r="L268" i="1"/>
  <c r="E101" i="2" s="1"/>
  <c r="E107" i="2" s="1"/>
  <c r="L269" i="1"/>
  <c r="L270" i="1"/>
  <c r="L271" i="1"/>
  <c r="L273" i="1"/>
  <c r="L274" i="1"/>
  <c r="L275" i="1"/>
  <c r="L276" i="1"/>
  <c r="L277" i="1"/>
  <c r="L278" i="1"/>
  <c r="L279" i="1"/>
  <c r="C21" i="10" s="1"/>
  <c r="L280" i="1"/>
  <c r="L287" i="1"/>
  <c r="L288" i="1"/>
  <c r="L301" i="1" s="1"/>
  <c r="L289" i="1"/>
  <c r="L290" i="1"/>
  <c r="L292" i="1"/>
  <c r="L293" i="1"/>
  <c r="L294" i="1"/>
  <c r="L295" i="1"/>
  <c r="L296" i="1"/>
  <c r="L297" i="1"/>
  <c r="E115" i="2" s="1"/>
  <c r="L298" i="1"/>
  <c r="L299" i="1"/>
  <c r="E117" i="2" s="1"/>
  <c r="L306" i="1"/>
  <c r="L307" i="1"/>
  <c r="L308" i="1"/>
  <c r="L309" i="1"/>
  <c r="L320" i="1" s="1"/>
  <c r="L311" i="1"/>
  <c r="L312" i="1"/>
  <c r="L313" i="1"/>
  <c r="L314" i="1"/>
  <c r="L315" i="1"/>
  <c r="E114" i="2" s="1"/>
  <c r="L316" i="1"/>
  <c r="L317" i="1"/>
  <c r="H652" i="1" s="1"/>
  <c r="L318" i="1"/>
  <c r="L325" i="1"/>
  <c r="L326" i="1"/>
  <c r="L327" i="1"/>
  <c r="L252" i="1"/>
  <c r="H25" i="13" s="1"/>
  <c r="L253" i="1"/>
  <c r="L333" i="1"/>
  <c r="E123" i="2" s="1"/>
  <c r="L334" i="1"/>
  <c r="L247" i="1"/>
  <c r="L328" i="1"/>
  <c r="F22" i="13"/>
  <c r="C22" i="13" s="1"/>
  <c r="C11" i="13"/>
  <c r="C10" i="13"/>
  <c r="C9" i="13"/>
  <c r="L353" i="1"/>
  <c r="B4" i="12"/>
  <c r="B36" i="12"/>
  <c r="C36" i="12"/>
  <c r="B40" i="12"/>
  <c r="C40" i="12"/>
  <c r="A40" i="12"/>
  <c r="B27" i="12"/>
  <c r="C27" i="12"/>
  <c r="A31" i="12" s="1"/>
  <c r="B31" i="12"/>
  <c r="C31" i="12"/>
  <c r="B9" i="12"/>
  <c r="B13" i="12"/>
  <c r="C9" i="12"/>
  <c r="C13" i="12"/>
  <c r="A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C130" i="2"/>
  <c r="L387" i="1"/>
  <c r="L388" i="1"/>
  <c r="L393" i="1" s="1"/>
  <c r="L389" i="1"/>
  <c r="L390" i="1"/>
  <c r="L391" i="1"/>
  <c r="L392" i="1"/>
  <c r="L395" i="1"/>
  <c r="L396" i="1"/>
  <c r="L399" i="1" s="1"/>
  <c r="C132" i="2" s="1"/>
  <c r="L397" i="1"/>
  <c r="L398" i="1"/>
  <c r="L258" i="1"/>
  <c r="J52" i="1"/>
  <c r="J104" i="1" s="1"/>
  <c r="G48" i="2"/>
  <c r="G51" i="2"/>
  <c r="G54" i="2" s="1"/>
  <c r="G55" i="2" s="1"/>
  <c r="G53" i="2"/>
  <c r="F2" i="11"/>
  <c r="L603" i="1"/>
  <c r="H653" i="1" s="1"/>
  <c r="L602" i="1"/>
  <c r="G653" i="1" s="1"/>
  <c r="L601" i="1"/>
  <c r="F653" i="1" s="1"/>
  <c r="C40" i="10"/>
  <c r="F52" i="1"/>
  <c r="F104" i="1" s="1"/>
  <c r="G52" i="1"/>
  <c r="G104" i="1" s="1"/>
  <c r="H52" i="1"/>
  <c r="I52" i="1"/>
  <c r="C35" i="10"/>
  <c r="F71" i="1"/>
  <c r="C49" i="2" s="1"/>
  <c r="C54" i="2" s="1"/>
  <c r="F86" i="1"/>
  <c r="F103" i="1"/>
  <c r="G103" i="1"/>
  <c r="H71" i="1"/>
  <c r="E49" i="2" s="1"/>
  <c r="E54" i="2" s="1"/>
  <c r="H86" i="1"/>
  <c r="H103" i="1"/>
  <c r="I103" i="1"/>
  <c r="I104" i="1"/>
  <c r="J103" i="1"/>
  <c r="C37" i="10"/>
  <c r="F113" i="1"/>
  <c r="F128" i="1"/>
  <c r="F132" i="1"/>
  <c r="G113" i="1"/>
  <c r="G132" i="1" s="1"/>
  <c r="G128" i="1"/>
  <c r="H113" i="1"/>
  <c r="H128" i="1"/>
  <c r="H132" i="1"/>
  <c r="I113" i="1"/>
  <c r="I128" i="1"/>
  <c r="I132" i="1" s="1"/>
  <c r="J113" i="1"/>
  <c r="J128" i="1"/>
  <c r="J132" i="1"/>
  <c r="F139" i="1"/>
  <c r="F154" i="1"/>
  <c r="F161" i="1"/>
  <c r="G139" i="1"/>
  <c r="D77" i="2" s="1"/>
  <c r="D83" i="2" s="1"/>
  <c r="G154" i="1"/>
  <c r="H139" i="1"/>
  <c r="H161" i="1" s="1"/>
  <c r="H154" i="1"/>
  <c r="I139" i="1"/>
  <c r="I154" i="1"/>
  <c r="I161" i="1" s="1"/>
  <c r="C11" i="10"/>
  <c r="C13" i="10"/>
  <c r="C15" i="10"/>
  <c r="C18" i="10"/>
  <c r="C20" i="10"/>
  <c r="L242" i="1"/>
  <c r="L324" i="1"/>
  <c r="C23" i="10"/>
  <c r="L246" i="1"/>
  <c r="C24" i="10" s="1"/>
  <c r="C25" i="10"/>
  <c r="L260" i="1"/>
  <c r="L261" i="1"/>
  <c r="L341" i="1"/>
  <c r="E134" i="2" s="1"/>
  <c r="L342" i="1"/>
  <c r="C26" i="10"/>
  <c r="I655" i="1"/>
  <c r="I660" i="1"/>
  <c r="G652" i="1"/>
  <c r="I659" i="1"/>
  <c r="C5" i="10"/>
  <c r="C42" i="10"/>
  <c r="L366" i="1"/>
  <c r="C29" i="10" s="1"/>
  <c r="L367" i="1"/>
  <c r="L368" i="1"/>
  <c r="L369" i="1"/>
  <c r="F122" i="2" s="1"/>
  <c r="F136" i="2" s="1"/>
  <c r="L370" i="1"/>
  <c r="L374" i="1" s="1"/>
  <c r="G626" i="1" s="1"/>
  <c r="J626" i="1" s="1"/>
  <c r="L371" i="1"/>
  <c r="L372" i="1"/>
  <c r="B2" i="10"/>
  <c r="L336" i="1"/>
  <c r="L337" i="1"/>
  <c r="E127" i="2" s="1"/>
  <c r="L338" i="1"/>
  <c r="L339" i="1"/>
  <c r="K343" i="1"/>
  <c r="L511" i="1"/>
  <c r="F539" i="1"/>
  <c r="K539" i="1" s="1"/>
  <c r="L512" i="1"/>
  <c r="L514" i="1" s="1"/>
  <c r="L535" i="1" s="1"/>
  <c r="L513" i="1"/>
  <c r="F541" i="1" s="1"/>
  <c r="L516" i="1"/>
  <c r="G539" i="1"/>
  <c r="G542" i="1" s="1"/>
  <c r="L517" i="1"/>
  <c r="G540" i="1"/>
  <c r="L518" i="1"/>
  <c r="G541" i="1"/>
  <c r="L521" i="1"/>
  <c r="H539" i="1" s="1"/>
  <c r="L522" i="1"/>
  <c r="H540" i="1" s="1"/>
  <c r="L523" i="1"/>
  <c r="H541" i="1"/>
  <c r="L526" i="1"/>
  <c r="I539" i="1"/>
  <c r="I542" i="1" s="1"/>
  <c r="L527" i="1"/>
  <c r="I540" i="1"/>
  <c r="L528" i="1"/>
  <c r="I541" i="1"/>
  <c r="L531" i="1"/>
  <c r="J539" i="1" s="1"/>
  <c r="L532" i="1"/>
  <c r="J540" i="1"/>
  <c r="L533" i="1"/>
  <c r="L534" i="1" s="1"/>
  <c r="E124" i="2"/>
  <c r="K262" i="1"/>
  <c r="J262" i="1"/>
  <c r="I262" i="1"/>
  <c r="H262" i="1"/>
  <c r="G262" i="1"/>
  <c r="F262" i="1"/>
  <c r="L262" i="1" s="1"/>
  <c r="C124" i="2"/>
  <c r="A1" i="2"/>
  <c r="A2" i="2"/>
  <c r="C9" i="2"/>
  <c r="D9" i="2"/>
  <c r="E9" i="2"/>
  <c r="F9" i="2"/>
  <c r="F19" i="2" s="1"/>
  <c r="I431" i="1"/>
  <c r="I438" i="1" s="1"/>
  <c r="G632" i="1" s="1"/>
  <c r="J9" i="1"/>
  <c r="C10" i="2"/>
  <c r="D10" i="2"/>
  <c r="E10" i="2"/>
  <c r="F10" i="2"/>
  <c r="I432" i="1"/>
  <c r="J10" i="1" s="1"/>
  <c r="G10" i="2" s="1"/>
  <c r="C11" i="2"/>
  <c r="C12" i="2"/>
  <c r="D12" i="2"/>
  <c r="D19" i="2" s="1"/>
  <c r="E12" i="2"/>
  <c r="E19" i="2" s="1"/>
  <c r="F12" i="2"/>
  <c r="I433" i="1"/>
  <c r="J12" i="1" s="1"/>
  <c r="G12" i="2" s="1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 s="1"/>
  <c r="C19" i="2"/>
  <c r="C22" i="2"/>
  <c r="D22" i="2"/>
  <c r="E22" i="2"/>
  <c r="F22" i="2"/>
  <c r="I440" i="1"/>
  <c r="J23" i="1"/>
  <c r="G22" i="2" s="1"/>
  <c r="C23" i="2"/>
  <c r="C32" i="2" s="1"/>
  <c r="D23" i="2"/>
  <c r="E23" i="2"/>
  <c r="E32" i="2" s="1"/>
  <c r="F23" i="2"/>
  <c r="I441" i="1"/>
  <c r="J24" i="1" s="1"/>
  <c r="G23" i="2" s="1"/>
  <c r="C24" i="2"/>
  <c r="D24" i="2"/>
  <c r="D32" i="2" s="1"/>
  <c r="E24" i="2"/>
  <c r="F24" i="2"/>
  <c r="F32" i="2" s="1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C43" i="2" s="1"/>
  <c r="D34" i="2"/>
  <c r="E34" i="2"/>
  <c r="E42" i="2" s="1"/>
  <c r="E43" i="2" s="1"/>
  <c r="F34" i="2"/>
  <c r="C35" i="2"/>
  <c r="D35" i="2"/>
  <c r="E35" i="2"/>
  <c r="F35" i="2"/>
  <c r="C36" i="2"/>
  <c r="D36" i="2"/>
  <c r="E36" i="2"/>
  <c r="F36" i="2"/>
  <c r="F42" i="2" s="1"/>
  <c r="I446" i="1"/>
  <c r="J37" i="1" s="1"/>
  <c r="C37" i="2"/>
  <c r="D37" i="2"/>
  <c r="E37" i="2"/>
  <c r="F37" i="2"/>
  <c r="I447" i="1"/>
  <c r="J38" i="1" s="1"/>
  <c r="G37" i="2" s="1"/>
  <c r="C38" i="2"/>
  <c r="D38" i="2"/>
  <c r="D42" i="2" s="1"/>
  <c r="D43" i="2" s="1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C48" i="2"/>
  <c r="C55" i="2" s="1"/>
  <c r="D48" i="2"/>
  <c r="E48" i="2"/>
  <c r="E55" i="2" s="1"/>
  <c r="F48" i="2"/>
  <c r="C50" i="2"/>
  <c r="E50" i="2"/>
  <c r="C51" i="2"/>
  <c r="D51" i="2"/>
  <c r="D54" i="2" s="1"/>
  <c r="D55" i="2" s="1"/>
  <c r="D96" i="2" s="1"/>
  <c r="E51" i="2"/>
  <c r="F51" i="2"/>
  <c r="D52" i="2"/>
  <c r="C53" i="2"/>
  <c r="D53" i="2"/>
  <c r="E53" i="2"/>
  <c r="F53" i="2"/>
  <c r="F54" i="2" s="1"/>
  <c r="F55" i="2" s="1"/>
  <c r="C58" i="2"/>
  <c r="C59" i="2"/>
  <c r="C61" i="2"/>
  <c r="D61" i="2"/>
  <c r="D62" i="2" s="1"/>
  <c r="E61" i="2"/>
  <c r="F61" i="2"/>
  <c r="F62" i="2" s="1"/>
  <c r="G61" i="2"/>
  <c r="C62" i="2"/>
  <c r="E62" i="2"/>
  <c r="G62" i="2"/>
  <c r="C64" i="2"/>
  <c r="F64" i="2"/>
  <c r="F70" i="2" s="1"/>
  <c r="C65" i="2"/>
  <c r="F65" i="2"/>
  <c r="C66" i="2"/>
  <c r="C70" i="2" s="1"/>
  <c r="C73" i="2" s="1"/>
  <c r="C67" i="2"/>
  <c r="C68" i="2"/>
  <c r="E68" i="2"/>
  <c r="F68" i="2"/>
  <c r="C69" i="2"/>
  <c r="D69" i="2"/>
  <c r="E69" i="2"/>
  <c r="E70" i="2" s="1"/>
  <c r="E73" i="2" s="1"/>
  <c r="F69" i="2"/>
  <c r="G69" i="2"/>
  <c r="G70" i="2" s="1"/>
  <c r="G73" i="2" s="1"/>
  <c r="D70" i="2"/>
  <c r="D73" i="2" s="1"/>
  <c r="C71" i="2"/>
  <c r="D71" i="2"/>
  <c r="E71" i="2"/>
  <c r="C72" i="2"/>
  <c r="E72" i="2"/>
  <c r="C77" i="2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C85" i="2"/>
  <c r="C95" i="2" s="1"/>
  <c r="F85" i="2"/>
  <c r="F95" i="2" s="1"/>
  <c r="C86" i="2"/>
  <c r="F86" i="2"/>
  <c r="D88" i="2"/>
  <c r="E88" i="2"/>
  <c r="F88" i="2"/>
  <c r="G88" i="2"/>
  <c r="G95" i="2" s="1"/>
  <c r="C89" i="2"/>
  <c r="D89" i="2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C102" i="2"/>
  <c r="E102" i="2"/>
  <c r="E103" i="2"/>
  <c r="C104" i="2"/>
  <c r="E104" i="2"/>
  <c r="C105" i="2"/>
  <c r="E105" i="2"/>
  <c r="C106" i="2"/>
  <c r="E106" i="2"/>
  <c r="D107" i="2"/>
  <c r="F107" i="2"/>
  <c r="F137" i="2" s="1"/>
  <c r="G107" i="2"/>
  <c r="C110" i="2"/>
  <c r="E110" i="2"/>
  <c r="E111" i="2"/>
  <c r="C112" i="2"/>
  <c r="E112" i="2"/>
  <c r="C113" i="2"/>
  <c r="E113" i="2"/>
  <c r="C115" i="2"/>
  <c r="C116" i="2"/>
  <c r="C117" i="2"/>
  <c r="F120" i="2"/>
  <c r="G120" i="2"/>
  <c r="C122" i="2"/>
  <c r="E122" i="2"/>
  <c r="D126" i="2"/>
  <c r="E126" i="2"/>
  <c r="F126" i="2"/>
  <c r="K411" i="1"/>
  <c r="K419" i="1"/>
  <c r="K425" i="1"/>
  <c r="K426" i="1"/>
  <c r="G126" i="2"/>
  <c r="G136" i="2" s="1"/>
  <c r="G137" i="2" s="1"/>
  <c r="L255" i="1"/>
  <c r="C127" i="2"/>
  <c r="L256" i="1"/>
  <c r="C128" i="2" s="1"/>
  <c r="L257" i="1"/>
  <c r="C129" i="2" s="1"/>
  <c r="E129" i="2"/>
  <c r="C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 s="1"/>
  <c r="G153" i="2" s="1"/>
  <c r="G490" i="1"/>
  <c r="C153" i="2"/>
  <c r="H490" i="1"/>
  <c r="D153" i="2"/>
  <c r="I490" i="1"/>
  <c r="E153" i="2" s="1"/>
  <c r="J490" i="1"/>
  <c r="F153" i="2" s="1"/>
  <c r="B154" i="2"/>
  <c r="C154" i="2"/>
  <c r="G154" i="2" s="1"/>
  <c r="D154" i="2"/>
  <c r="E154" i="2"/>
  <c r="F154" i="2"/>
  <c r="B155" i="2"/>
  <c r="G155" i="2" s="1"/>
  <c r="C155" i="2"/>
  <c r="D155" i="2"/>
  <c r="E155" i="2"/>
  <c r="F155" i="2"/>
  <c r="F493" i="1"/>
  <c r="B156" i="2"/>
  <c r="G493" i="1"/>
  <c r="K493" i="1" s="1"/>
  <c r="H493" i="1"/>
  <c r="D156" i="2"/>
  <c r="I493" i="1"/>
  <c r="E156" i="2"/>
  <c r="J493" i="1"/>
  <c r="F156" i="2"/>
  <c r="F19" i="1"/>
  <c r="G19" i="1"/>
  <c r="H19" i="1"/>
  <c r="G609" i="1" s="1"/>
  <c r="I19" i="1"/>
  <c r="G610" i="1" s="1"/>
  <c r="F33" i="1"/>
  <c r="G33" i="1"/>
  <c r="G44" i="1" s="1"/>
  <c r="H608" i="1" s="1"/>
  <c r="J608" i="1" s="1"/>
  <c r="H33" i="1"/>
  <c r="I33" i="1"/>
  <c r="I44" i="1" s="1"/>
  <c r="H610" i="1" s="1"/>
  <c r="F43" i="1"/>
  <c r="F44" i="1" s="1"/>
  <c r="H607" i="1" s="1"/>
  <c r="G43" i="1"/>
  <c r="G613" i="1" s="1"/>
  <c r="H43" i="1"/>
  <c r="H44" i="1" s="1"/>
  <c r="H609" i="1" s="1"/>
  <c r="I43" i="1"/>
  <c r="F169" i="1"/>
  <c r="F184" i="1" s="1"/>
  <c r="I169" i="1"/>
  <c r="F175" i="1"/>
  <c r="G175" i="1"/>
  <c r="H175" i="1"/>
  <c r="H184" i="1" s="1"/>
  <c r="I175" i="1"/>
  <c r="J175" i="1"/>
  <c r="J184" i="1" s="1"/>
  <c r="F180" i="1"/>
  <c r="G180" i="1"/>
  <c r="H180" i="1"/>
  <c r="I180" i="1"/>
  <c r="G184" i="1"/>
  <c r="I184" i="1"/>
  <c r="F203" i="1"/>
  <c r="G203" i="1"/>
  <c r="H203" i="1"/>
  <c r="I203" i="1"/>
  <c r="I249" i="1" s="1"/>
  <c r="I263" i="1" s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F249" i="1"/>
  <c r="G249" i="1"/>
  <c r="G263" i="1" s="1"/>
  <c r="H249" i="1"/>
  <c r="H263" i="1" s="1"/>
  <c r="J249" i="1"/>
  <c r="H638" i="1" s="1"/>
  <c r="F282" i="1"/>
  <c r="G282" i="1"/>
  <c r="G330" i="1" s="1"/>
  <c r="G344" i="1" s="1"/>
  <c r="H282" i="1"/>
  <c r="I282" i="1"/>
  <c r="F301" i="1"/>
  <c r="F330" i="1" s="1"/>
  <c r="F344" i="1" s="1"/>
  <c r="G301" i="1"/>
  <c r="H301" i="1"/>
  <c r="H330" i="1" s="1"/>
  <c r="H344" i="1" s="1"/>
  <c r="I301" i="1"/>
  <c r="F320" i="1"/>
  <c r="G320" i="1"/>
  <c r="H320" i="1"/>
  <c r="I320" i="1"/>
  <c r="I330" i="1" s="1"/>
  <c r="I344" i="1" s="1"/>
  <c r="F329" i="1"/>
  <c r="G329" i="1"/>
  <c r="L329" i="1" s="1"/>
  <c r="H329" i="1"/>
  <c r="I329" i="1"/>
  <c r="J329" i="1"/>
  <c r="K329" i="1"/>
  <c r="J330" i="1"/>
  <c r="J344" i="1" s="1"/>
  <c r="F354" i="1"/>
  <c r="G354" i="1"/>
  <c r="H354" i="1"/>
  <c r="I354" i="1"/>
  <c r="J354" i="1"/>
  <c r="K354" i="1"/>
  <c r="I360" i="1"/>
  <c r="I361" i="1" s="1"/>
  <c r="H624" i="1" s="1"/>
  <c r="J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H393" i="1"/>
  <c r="H400" i="1" s="1"/>
  <c r="H634" i="1" s="1"/>
  <c r="J634" i="1" s="1"/>
  <c r="I393" i="1"/>
  <c r="I400" i="1" s="1"/>
  <c r="F399" i="1"/>
  <c r="G399" i="1"/>
  <c r="G400" i="1" s="1"/>
  <c r="H635" i="1" s="1"/>
  <c r="H399" i="1"/>
  <c r="I399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H411" i="1"/>
  <c r="H426" i="1" s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I425" i="1"/>
  <c r="J425" i="1"/>
  <c r="G426" i="1"/>
  <c r="I426" i="1"/>
  <c r="J426" i="1"/>
  <c r="F438" i="1"/>
  <c r="G629" i="1" s="1"/>
  <c r="J629" i="1" s="1"/>
  <c r="G438" i="1"/>
  <c r="H438" i="1"/>
  <c r="F444" i="1"/>
  <c r="G444" i="1"/>
  <c r="G451" i="1" s="1"/>
  <c r="H630" i="1" s="1"/>
  <c r="J630" i="1" s="1"/>
  <c r="H444" i="1"/>
  <c r="F450" i="1"/>
  <c r="G450" i="1"/>
  <c r="H450" i="1"/>
  <c r="H451" i="1" s="1"/>
  <c r="H631" i="1" s="1"/>
  <c r="F451" i="1"/>
  <c r="F460" i="1"/>
  <c r="F466" i="1" s="1"/>
  <c r="H612" i="1" s="1"/>
  <c r="G460" i="1"/>
  <c r="G466" i="1" s="1"/>
  <c r="H613" i="1" s="1"/>
  <c r="H460" i="1"/>
  <c r="I460" i="1"/>
  <c r="J460" i="1"/>
  <c r="J466" i="1" s="1"/>
  <c r="H616" i="1" s="1"/>
  <c r="F464" i="1"/>
  <c r="G464" i="1"/>
  <c r="H464" i="1"/>
  <c r="I464" i="1"/>
  <c r="I466" i="1" s="1"/>
  <c r="H615" i="1" s="1"/>
  <c r="J464" i="1"/>
  <c r="H466" i="1"/>
  <c r="H614" i="1" s="1"/>
  <c r="J614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F535" i="1" s="1"/>
  <c r="G514" i="1"/>
  <c r="G535" i="1" s="1"/>
  <c r="H514" i="1"/>
  <c r="H535" i="1" s="1"/>
  <c r="I514" i="1"/>
  <c r="J514" i="1"/>
  <c r="J535" i="1" s="1"/>
  <c r="K514" i="1"/>
  <c r="F519" i="1"/>
  <c r="G519" i="1"/>
  <c r="H519" i="1"/>
  <c r="I519" i="1"/>
  <c r="J519" i="1"/>
  <c r="K519" i="1"/>
  <c r="L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I535" i="1"/>
  <c r="K535" i="1"/>
  <c r="L547" i="1"/>
  <c r="L550" i="1" s="1"/>
  <c r="L561" i="1" s="1"/>
  <c r="L548" i="1"/>
  <c r="L549" i="1"/>
  <c r="F550" i="1"/>
  <c r="F561" i="1" s="1"/>
  <c r="G550" i="1"/>
  <c r="H550" i="1"/>
  <c r="I550" i="1"/>
  <c r="I561" i="1" s="1"/>
  <c r="J550" i="1"/>
  <c r="K550" i="1"/>
  <c r="K561" i="1" s="1"/>
  <c r="L552" i="1"/>
  <c r="L555" i="1" s="1"/>
  <c r="L553" i="1"/>
  <c r="L554" i="1"/>
  <c r="F555" i="1"/>
  <c r="G555" i="1"/>
  <c r="G561" i="1" s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H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I588" i="1"/>
  <c r="H640" i="1" s="1"/>
  <c r="J640" i="1" s="1"/>
  <c r="J588" i="1"/>
  <c r="K592" i="1"/>
  <c r="K593" i="1"/>
  <c r="K595" i="1" s="1"/>
  <c r="G638" i="1" s="1"/>
  <c r="J638" i="1" s="1"/>
  <c r="K594" i="1"/>
  <c r="H595" i="1"/>
  <c r="I595" i="1"/>
  <c r="J595" i="1"/>
  <c r="F604" i="1"/>
  <c r="G604" i="1"/>
  <c r="H604" i="1"/>
  <c r="I604" i="1"/>
  <c r="J604" i="1"/>
  <c r="K604" i="1"/>
  <c r="G607" i="1"/>
  <c r="G608" i="1"/>
  <c r="G614" i="1"/>
  <c r="G615" i="1"/>
  <c r="J615" i="1" s="1"/>
  <c r="H617" i="1"/>
  <c r="H618" i="1"/>
  <c r="H619" i="1"/>
  <c r="H620" i="1"/>
  <c r="H621" i="1"/>
  <c r="H622" i="1"/>
  <c r="H623" i="1"/>
  <c r="G624" i="1"/>
  <c r="H625" i="1"/>
  <c r="H626" i="1"/>
  <c r="H627" i="1"/>
  <c r="H628" i="1"/>
  <c r="H629" i="1"/>
  <c r="G630" i="1"/>
  <c r="G631" i="1"/>
  <c r="G633" i="1"/>
  <c r="G634" i="1"/>
  <c r="H637" i="1"/>
  <c r="G639" i="1"/>
  <c r="J639" i="1" s="1"/>
  <c r="H639" i="1"/>
  <c r="G640" i="1"/>
  <c r="G641" i="1"/>
  <c r="H641" i="1"/>
  <c r="J641" i="1" s="1"/>
  <c r="G642" i="1"/>
  <c r="H642" i="1"/>
  <c r="J642" i="1"/>
  <c r="G643" i="1"/>
  <c r="J643" i="1" s="1"/>
  <c r="H643" i="1"/>
  <c r="G644" i="1"/>
  <c r="H644" i="1"/>
  <c r="J644" i="1"/>
  <c r="G645" i="1"/>
  <c r="H645" i="1"/>
  <c r="J645" i="1" s="1"/>
  <c r="J631" i="1" l="1"/>
  <c r="J613" i="1"/>
  <c r="F185" i="1"/>
  <c r="G617" i="1" s="1"/>
  <c r="J617" i="1" s="1"/>
  <c r="I185" i="1"/>
  <c r="G620" i="1" s="1"/>
  <c r="J620" i="1" s="1"/>
  <c r="H542" i="1"/>
  <c r="I653" i="1"/>
  <c r="G33" i="13"/>
  <c r="G185" i="1"/>
  <c r="G618" i="1" s="1"/>
  <c r="J618" i="1" s="1"/>
  <c r="C5" i="13"/>
  <c r="F73" i="2"/>
  <c r="F96" i="2"/>
  <c r="J43" i="1"/>
  <c r="G36" i="2"/>
  <c r="G42" i="2" s="1"/>
  <c r="G43" i="2" s="1"/>
  <c r="F43" i="2"/>
  <c r="H650" i="1"/>
  <c r="H654" i="1" s="1"/>
  <c r="E33" i="13"/>
  <c r="D35" i="13" s="1"/>
  <c r="C8" i="13"/>
  <c r="J610" i="1"/>
  <c r="C96" i="2"/>
  <c r="C38" i="10"/>
  <c r="J609" i="1"/>
  <c r="G32" i="2"/>
  <c r="G96" i="2"/>
  <c r="C131" i="2"/>
  <c r="C133" i="2" s="1"/>
  <c r="L400" i="1"/>
  <c r="H33" i="13"/>
  <c r="C25" i="13"/>
  <c r="C120" i="2"/>
  <c r="J19" i="1"/>
  <c r="G611" i="1" s="1"/>
  <c r="K541" i="1"/>
  <c r="J185" i="1"/>
  <c r="E136" i="2"/>
  <c r="L282" i="1"/>
  <c r="I450" i="1"/>
  <c r="J33" i="1"/>
  <c r="G9" i="2"/>
  <c r="G19" i="2" s="1"/>
  <c r="J541" i="1"/>
  <c r="J542" i="1" s="1"/>
  <c r="L221" i="1"/>
  <c r="G650" i="1" s="1"/>
  <c r="C19" i="10"/>
  <c r="G161" i="1"/>
  <c r="C39" i="10" s="1"/>
  <c r="C101" i="2"/>
  <c r="C107" i="2" s="1"/>
  <c r="L203" i="1"/>
  <c r="C17" i="10"/>
  <c r="C114" i="2"/>
  <c r="G612" i="1"/>
  <c r="J612" i="1" s="1"/>
  <c r="J263" i="1"/>
  <c r="E77" i="2"/>
  <c r="E83" i="2" s="1"/>
  <c r="E96" i="2" s="1"/>
  <c r="L343" i="1"/>
  <c r="F652" i="1"/>
  <c r="I652" i="1" s="1"/>
  <c r="C16" i="10"/>
  <c r="J607" i="1"/>
  <c r="I444" i="1"/>
  <c r="H104" i="1"/>
  <c r="H185" i="1" s="1"/>
  <c r="G619" i="1" s="1"/>
  <c r="J619" i="1" s="1"/>
  <c r="F33" i="13"/>
  <c r="C156" i="2"/>
  <c r="G156" i="2" s="1"/>
  <c r="D119" i="2"/>
  <c r="D120" i="2" s="1"/>
  <c r="D137" i="2" s="1"/>
  <c r="H651" i="1"/>
  <c r="G635" i="1"/>
  <c r="J635" i="1" s="1"/>
  <c r="F540" i="1"/>
  <c r="C32" i="10"/>
  <c r="G651" i="1"/>
  <c r="C12" i="10"/>
  <c r="L604" i="1"/>
  <c r="F263" i="1"/>
  <c r="C111" i="2"/>
  <c r="F651" i="1"/>
  <c r="L354" i="1"/>
  <c r="E116" i="2"/>
  <c r="E120" i="2" s="1"/>
  <c r="E137" i="2" s="1"/>
  <c r="C10" i="10"/>
  <c r="C123" i="2"/>
  <c r="C136" i="2" s="1"/>
  <c r="G616" i="1" l="1"/>
  <c r="J616" i="1" s="1"/>
  <c r="J44" i="1"/>
  <c r="H611" i="1" s="1"/>
  <c r="D31" i="13"/>
  <c r="L330" i="1"/>
  <c r="L344" i="1" s="1"/>
  <c r="G623" i="1" s="1"/>
  <c r="J623" i="1" s="1"/>
  <c r="C27" i="10"/>
  <c r="G625" i="1"/>
  <c r="J625" i="1" s="1"/>
  <c r="I651" i="1"/>
  <c r="G627" i="1"/>
  <c r="J627" i="1" s="1"/>
  <c r="H636" i="1"/>
  <c r="L249" i="1"/>
  <c r="L263" i="1" s="1"/>
  <c r="G622" i="1" s="1"/>
  <c r="J622" i="1" s="1"/>
  <c r="F650" i="1"/>
  <c r="G636" i="1"/>
  <c r="J636" i="1" s="1"/>
  <c r="G621" i="1"/>
  <c r="J621" i="1" s="1"/>
  <c r="C137" i="2"/>
  <c r="H662" i="1"/>
  <c r="C6" i="10" s="1"/>
  <c r="H657" i="1"/>
  <c r="I451" i="1"/>
  <c r="H632" i="1" s="1"/>
  <c r="J632" i="1" s="1"/>
  <c r="C36" i="10"/>
  <c r="G654" i="1"/>
  <c r="J611" i="1"/>
  <c r="K540" i="1"/>
  <c r="K542" i="1" s="1"/>
  <c r="F542" i="1"/>
  <c r="H646" i="1" l="1"/>
  <c r="C31" i="13"/>
  <c r="D33" i="13"/>
  <c r="D36" i="13" s="1"/>
  <c r="G662" i="1"/>
  <c r="G657" i="1"/>
  <c r="C28" i="10"/>
  <c r="I650" i="1"/>
  <c r="I654" i="1" s="1"/>
  <c r="F654" i="1"/>
  <c r="D36" i="10"/>
  <c r="C41" i="10"/>
  <c r="D35" i="10" l="1"/>
  <c r="D37" i="10"/>
  <c r="D40" i="10"/>
  <c r="D39" i="10"/>
  <c r="D38" i="10"/>
  <c r="I662" i="1"/>
  <c r="C7" i="10" s="1"/>
  <c r="I657" i="1"/>
  <c r="F662" i="1"/>
  <c r="C4" i="10" s="1"/>
  <c r="F657" i="1"/>
  <c r="D15" i="10"/>
  <c r="C30" i="10"/>
  <c r="D25" i="10"/>
  <c r="D22" i="10"/>
  <c r="D26" i="10"/>
  <c r="D11" i="10"/>
  <c r="D21" i="10"/>
  <c r="D23" i="10"/>
  <c r="D18" i="10"/>
  <c r="D13" i="10"/>
  <c r="D24" i="10"/>
  <c r="D20" i="10"/>
  <c r="D16" i="10"/>
  <c r="D10" i="10"/>
  <c r="D28" i="10" s="1"/>
  <c r="D12" i="10"/>
  <c r="D17" i="10"/>
  <c r="D19" i="10"/>
  <c r="D27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D1703C68-D15A-497E-8BDB-77DFD4E4AB0A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8C5EE8B-714A-4D20-A71A-DCCC392EC6F6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1B956FB2-C59E-48F7-84F5-E7424E2C0A7B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FBECAB2-57F0-48F6-A555-4127FC6690B8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A4C1BD65-7F97-46EE-940C-7B84EB5303A8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E261A54-6367-4A35-A9DB-0E3EF5A045C8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81EE8DD9-CBAC-4B2C-95C9-EEAFAD998F82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21D57165-DF6D-4381-9FF5-1C776EA34964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E963CE2C-4907-4A94-BDEB-343F7AC2C928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657D6941-5AB0-447A-B51F-47D32A8891E5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A5FC19F2-EE09-4D68-8C9F-9CB292062077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50C4C2B7-B57F-4327-BDFB-D42D73DDAF8B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<sst xmlns="http://schemas.openxmlformats.org/spreadsheetml/2006/main" count="3876" uniqueCount="907">
  <si>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</si>
  <si>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</si>
  <si>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</si>
  <si>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</si>
  <si>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</si>
  <si>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</si>
  <si>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</si>
  <si>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</si>
  <si>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</si>
  <si>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</si>
  <si>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</si>
  <si>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</si>
  <si>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</si>
  <si>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</si>
  <si>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</si>
  <si>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</si>
  <si>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</si>
  <si>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</si>
  <si>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</si>
  <si>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</si>
  <si>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</si>
  <si>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</si>
  <si>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</si>
  <si>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</si>
  <si>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</si>
  <si>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</si>
  <si>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</si>
  <si>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</si>
  <si>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</si>
  <si>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</si>
  <si>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</si>
  <si>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</si>
  <si>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</si>
  <si>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</si>
  <si>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</si>
  <si>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</si>
  <si>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</si>
  <si>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</si>
  <si>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</si>
  <si>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</si>
  <si>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</si>
  <si>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</si>
  <si>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</si>
  <si>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</si>
  <si>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</si>
  <si>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</si>
  <si>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</si>
  <si>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</si>
  <si>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</si>
  <si>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</si>
  <si>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</si>
  <si>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</si>
  <si>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</si>
  <si>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</si>
  <si>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</si>
  <si>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</si>
  <si>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</si>
  <si>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</si>
  <si>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</si>
  <si>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</si>
  <si>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</si>
  <si>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</si>
  <si>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</si>
  <si>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</si>
  <si>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</si>
  <si>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</si>
  <si>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</si>
  <si>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</si>
  <si>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</si>
  <si>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</si>
  <si>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</si>
  <si>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</si>
  <si>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</si>
  <si>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</si>
  <si>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</si>
  <si>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</si>
  <si>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</si>
  <si>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</si>
  <si>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</si>
  <si>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</si>
  <si>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</si>
  <si>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</si>
  <si>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</si>
  <si>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</si>
  <si>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</si>
  <si>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</si>
  <si>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</si>
  <si>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</si>
  <si>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</si>
  <si>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</si>
  <si>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</si>
  <si>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</si>
  <si>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</si>
  <si>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</si>
  <si>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</si>
  <si>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</si>
  <si>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</si>
  <si>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</si>
  <si>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</si>
  <si>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</si>
  <si>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</si>
  <si>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</si>
  <si>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</si>
  <si>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</si>
  <si>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</si>
  <si>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</si>
  <si>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</si>
  <si>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</si>
  <si>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</si>
  <si>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</si>
  <si>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</si>
  <si>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</si>
  <si>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</si>
  <si>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</si>
  <si>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</si>
  <si>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</si>
  <si>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</si>
  <si>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</si>
  <si>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</si>
  <si>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</si>
  <si>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</si>
  <si>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</si>
  <si>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</si>
  <si>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</si>
  <si>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</si>
  <si>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</si>
  <si>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</si>
  <si>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</si>
  <si>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</si>
  <si>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</si>
  <si>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</si>
  <si>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</si>
  <si>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</si>
  <si>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</si>
  <si>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</si>
  <si>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</si>
  <si>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</si>
  <si>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</si>
  <si>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</si>
  <si>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</si>
  <si>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</si>
  <si>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</si>
  <si>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</si>
  <si>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</si>
  <si>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</si>
  <si>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</si>
  <si>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</si>
  <si>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</si>
  <si>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</si>
  <si>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</si>
  <si>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</si>
  <si>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</si>
  <si>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</si>
  <si>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</si>
  <si>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</si>
  <si>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</si>
  <si>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</si>
  <si>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</si>
  <si>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</si>
  <si>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</si>
  <si>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</si>
  <si>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</si>
  <si>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</si>
  <si>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</si>
  <si>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</si>
  <si>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</si>
  <si>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</si>
  <si>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</si>
  <si>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</si>
  <si>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</si>
  <si>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</si>
  <si>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</si>
  <si>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</si>
  <si>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</si>
  <si>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</si>
  <si>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</si>
  <si>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</si>
  <si>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</si>
  <si>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</si>
  <si>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</si>
  <si>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</si>
  <si>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</si>
  <si>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</si>
  <si>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</si>
  <si>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</si>
  <si>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</si>
  <si>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</si>
  <si>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</si>
  <si>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</si>
  <si>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</si>
  <si>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</si>
  <si>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</si>
  <si>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</si>
  <si>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</si>
  <si>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</si>
  <si>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</si>
  <si>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</si>
  <si>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</si>
  <si>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</si>
  <si>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</si>
  <si>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</si>
  <si>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</si>
  <si>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</si>
  <si>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</si>
  <si>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</si>
  <si>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</si>
  <si>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</si>
  <si>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</si>
  <si>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</si>
  <si>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</si>
  <si>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</si>
  <si>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</si>
  <si>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</si>
  <si>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</si>
  <si>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</si>
  <si>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</si>
  <si>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</si>
  <si>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</si>
  <si>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</si>
  <si>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</si>
  <si>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</si>
  <si>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</si>
  <si>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</si>
  <si>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</si>
  <si>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</si>
  <si>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</si>
  <si>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</si>
  <si>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</si>
  <si>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</si>
  <si>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</si>
  <si>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</si>
  <si>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</si>
  <si>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</si>
  <si>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</si>
  <si>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</si>
  <si>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</si>
  <si>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</si>
  <si>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</si>
  <si>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</si>
  <si>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</si>
  <si>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</si>
  <si>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</si>
  <si>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</si>
  <si>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</si>
  <si>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</si>
  <si>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</si>
  <si>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</si>
  <si>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</si>
  <si>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</si>
  <si>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</si>
  <si>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</si>
  <si>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</si>
  <si>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</si>
  <si>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</si>
  <si>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</si>
  <si>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</si>
  <si>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</si>
  <si>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</si>
  <si>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</si>
  <si>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</si>
  <si>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</si>
  <si>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</si>
  <si>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</si>
  <si>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</si>
  <si>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</si>
  <si>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</si>
  <si>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</si>
  <si>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</si>
  <si>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</si>
  <si>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</si>
  <si>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</si>
  <si>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</si>
  <si>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</si>
  <si>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</si>
  <si>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</si>
  <si>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</si>
  <si>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</si>
  <si>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</si>
  <si>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</si>
  <si>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</si>
  <si>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</si>
  <si>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</si>
  <si>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</si>
  <si>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</si>
  <si>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</si>
  <si>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</si>
  <si>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</si>
  <si>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</si>
  <si>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</si>
  <si>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</si>
  <si>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</si>
  <si>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</si>
  <si>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</si>
  <si>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</si>
  <si>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</si>
  <si>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</si>
  <si>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</si>
  <si>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</si>
  <si>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</si>
  <si>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</si>
  <si>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</si>
  <si>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</si>
  <si>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</si>
  <si>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</si>
  <si>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</si>
  <si>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</si>
  <si>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</si>
  <si>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</si>
  <si>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</si>
  <si>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</si>
  <si>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</si>
  <si>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</si>
  <si>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</si>
  <si>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</si>
  <si>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</si>
  <si>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</si>
  <si>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</si>
  <si>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</si>
  <si>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</si>
  <si>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</si>
  <si>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</si>
  <si>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</si>
  <si>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</si>
  <si>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</si>
  <si>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</si>
  <si>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</si>
  <si>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</si>
  <si>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</si>
  <si>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</si>
  <si>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</si>
  <si>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</si>
  <si>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</si>
  <si>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</si>
  <si>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</si>
  <si>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</si>
  <si>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</si>
  <si>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</si>
  <si>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</si>
  <si>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</si>
  <si>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</si>
  <si>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</si>
  <si>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</si>
  <si>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</si>
  <si>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</si>
  <si>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</si>
  <si>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</si>
  <si>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</si>
  <si>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</si>
  <si>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</si>
  <si>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</si>
  <si>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</si>
  <si>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</si>
  <si>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</si>
  <si>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</si>
  <si>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</si>
  <si>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</si>
  <si>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</si>
  <si>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</si>
  <si>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</si>
  <si>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</si>
  <si>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</si>
  <si>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</si>
  <si>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</si>
  <si>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</si>
  <si>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</si>
  <si>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</si>
  <si>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</si>
  <si>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</si>
  <si>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</si>
  <si>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</si>
  <si>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</si>
  <si>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</si>
  <si>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</si>
  <si>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</si>
  <si>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</si>
  <si>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</si>
  <si>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</si>
  <si>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</si>
  <si>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</si>
  <si>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</si>
  <si>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</si>
  <si>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</si>
  <si>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</si>
  <si>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</si>
  <si>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</si>
  <si>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</si>
  <si>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</si>
  <si>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</si>
  <si>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</si>
  <si>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</si>
  <si>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</si>
  <si>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</si>
  <si>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</si>
  <si>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</si>
  <si>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</si>
  <si>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</si>
  <si>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</si>
  <si>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</si>
  <si>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</si>
  <si>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</si>
  <si>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</si>
  <si>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</si>
  <si>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</si>
  <si>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</si>
  <si>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</si>
  <si>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</si>
  <si>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</si>
  <si>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</si>
  <si>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</si>
  <si>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</si>
  <si>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</si>
  <si>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</si>
  <si>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</si>
  <si>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</si>
  <si>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</si>
  <si>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</si>
  <si>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</si>
  <si>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</si>
  <si>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</si>
  <si>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</si>
  <si>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</si>
  <si>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</si>
  <si>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</si>
  <si>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</si>
  <si>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</si>
  <si>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</si>
  <si>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</si>
  <si>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</si>
  <si>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</si>
  <si>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</si>
  <si>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</si>
  <si>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</si>
  <si>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</si>
  <si>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</si>
  <si>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</si>
  <si>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</si>
  <si>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</si>
  <si>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</si>
  <si>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</si>
  <si>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</si>
  <si>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</si>
  <si>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</si>
  <si>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</si>
  <si>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</si>
  <si>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</si>
  <si>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</si>
  <si>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</si>
  <si>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</si>
  <si>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</si>
  <si>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</si>
  <si>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</si>
  <si>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</si>
  <si>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</si>
  <si>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</si>
  <si>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</si>
  <si>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</si>
  <si>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</si>
  <si>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</si>
  <si>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</si>
  <si>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</si>
  <si>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</si>
  <si>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</si>
  <si>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</si>
  <si>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</si>
  <si>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</si>
  <si>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</si>
  <si>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</si>
  <si>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</si>
  <si>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</si>
  <si>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</si>
  <si>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</si>
  <si>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</si>
  <si>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</si>
  <si>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</si>
  <si>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</si>
  <si>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</si>
  <si>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</si>
  <si>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</si>
  <si>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</si>
  <si>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</si>
  <si>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</si>
  <si>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</si>
  <si>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</si>
  <si>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</si>
  <si>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</si>
  <si>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</si>
  <si>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</si>
  <si>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</si>
  <si>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</si>
  <si>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</si>
  <si>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</si>
  <si>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</si>
  <si>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</si>
  <si>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</si>
  <si>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</si>
  <si>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</si>
  <si>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</si>
  <si>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</si>
  <si>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</si>
  <si>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</si>
  <si>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</si>
  <si>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</si>
  <si>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</si>
  <si>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</si>
  <si>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</si>
  <si>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</si>
  <si>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</si>
  <si>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</si>
  <si>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</si>
  <si>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</si>
  <si>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</si>
  <si>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</si>
  <si>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</si>
  <si>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</si>
  <si>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</si>
  <si>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</si>
  <si>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</si>
  <si>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</si>
  <si>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</si>
  <si>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</si>
  <si>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</si>
  <si>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</si>
  <si>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</si>
  <si>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</si>
  <si>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</si>
  <si>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</si>
  <si>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</si>
  <si>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</si>
  <si>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</si>
  <si>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</si>
  <si>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</si>
  <si>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</si>
  <si>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</si>
  <si>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</si>
  <si>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</si>
  <si>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</si>
  <si>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</si>
  <si>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</si>
  <si>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</si>
  <si>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</si>
  <si>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</si>
  <si>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</si>
  <si>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</si>
  <si>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</si>
  <si>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</si>
  <si>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</si>
  <si>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</si>
  <si>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</si>
  <si>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</si>
  <si>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</si>
  <si>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</si>
  <si>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</si>
  <si>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</si>
  <si>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</si>
  <si>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</si>
  <si>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</si>
  <si>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</si>
  <si>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</si>
  <si>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</si>
  <si>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</si>
  <si>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</si>
  <si>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</si>
  <si>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</si>
  <si>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</si>
  <si>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</si>
  <si>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</si>
  <si>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</si>
  <si>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</si>
  <si>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</si>
  <si>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</si>
  <si>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</si>
  <si>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</si>
  <si>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</si>
  <si>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</si>
  <si>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</si>
  <si>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</si>
  <si>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</si>
  <si>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</si>
  <si>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</si>
  <si>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</si>
  <si>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</si>
  <si>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</si>
  <si>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</si>
  <si>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</si>
  <si>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</si>
  <si>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</si>
  <si>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</si>
  <si>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</si>
  <si>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</si>
  <si>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</si>
  <si>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</si>
  <si>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</si>
  <si>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</si>
  <si>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</si>
  <si>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</si>
  <si>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</si>
  <si>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</si>
  <si>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</si>
  <si>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</si>
  <si>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</si>
  <si>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</si>
  <si>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</si>
  <si>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</si>
  <si>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</si>
  <si>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</si>
  <si>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</si>
  <si>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</si>
  <si>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</si>
  <si>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</si>
  <si>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</si>
  <si>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</si>
  <si>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</si>
  <si>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</si>
  <si>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</si>
  <si>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</si>
  <si>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</si>
  <si>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</si>
  <si>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</si>
  <si>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</si>
  <si>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</si>
  <si>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</si>
  <si>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</si>
  <si>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</si>
  <si>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</si>
  <si>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</si>
  <si>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</si>
  <si>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</si>
  <si>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</si>
  <si>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</si>
  <si>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</si>
  <si>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</si>
  <si>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</si>
  <si>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</si>
  <si>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</si>
  <si>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</si>
  <si>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</si>
  <si>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</si>
  <si>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</si>
  <si>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</si>
  <si>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</si>
  <si>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</si>
  <si>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</si>
  <si>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</si>
  <si>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</si>
  <si>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</si>
  <si>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</si>
  <si>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</si>
  <si>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</si>
  <si>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</si>
  <si>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</si>
  <si>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</si>
  <si>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</si>
  <si>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</si>
  <si>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</si>
  <si>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</si>
  <si>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</si>
  <si>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</si>
  <si>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</si>
  <si>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</si>
  <si>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</si>
  <si>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</si>
  <si>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</si>
  <si>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</si>
  <si>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</si>
  <si>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</si>
  <si>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</si>
  <si>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</si>
  <si>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</si>
  <si>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</si>
  <si>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</si>
  <si>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</si>
  <si>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</si>
  <si>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</si>
  <si>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</si>
  <si>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</si>
  <si>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</si>
  <si>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</si>
  <si>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</si>
  <si>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</si>
  <si>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</si>
  <si>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</si>
  <si>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</si>
  <si>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</si>
  <si>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</si>
  <si>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</si>
  <si>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</si>
  <si>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</si>
  <si>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</si>
  <si>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</si>
  <si>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</si>
  <si>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</si>
  <si>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</si>
  <si>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</si>
  <si>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</si>
  <si>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</si>
  <si>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</si>
  <si>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</si>
  <si>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</si>
  <si>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</si>
  <si>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</si>
  <si>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</si>
  <si>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</si>
  <si>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</si>
  <si>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</si>
  <si>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</si>
  <si>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</si>
  <si>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</si>
  <si>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</si>
  <si>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</si>
  <si>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</si>
  <si>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</si>
  <si>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</si>
  <si>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</si>
  <si>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</si>
  <si>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</si>
  <si>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</si>
  <si>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</si>
  <si>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</si>
  <si>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</si>
  <si>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</si>
  <si>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</si>
  <si>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</si>
  <si>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</si>
  <si>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</si>
  <si>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</si>
  <si>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</si>
  <si>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</si>
  <si>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</si>
  <si>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</si>
  <si>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</si>
  <si>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</si>
  <si>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</si>
  <si>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</si>
  <si>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</si>
  <si>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</si>
  <si>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</si>
  <si>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</si>
  <si>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</si>
  <si>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</si>
  <si>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</si>
  <si>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</si>
  <si>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</si>
  <si>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</si>
  <si>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</si>
  <si>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</si>
  <si>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</si>
  <si>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</si>
  <si>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</si>
  <si>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</si>
  <si>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</si>
  <si>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</si>
  <si>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</si>
  <si>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</si>
  <si>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</si>
  <si>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</si>
  <si>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</si>
  <si>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</si>
  <si>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</si>
  <si>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</si>
  <si>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</si>
  <si>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</si>
  <si>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</si>
  <si>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</si>
  <si>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</si>
  <si>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</si>
  <si>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</si>
  <si>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</si>
  <si>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</si>
  <si>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</si>
  <si>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</si>
  <si>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</si>
  <si>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</si>
  <si>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</si>
  <si>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</si>
  <si>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</si>
  <si>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</si>
  <si>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</si>
  <si>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</si>
  <si>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</si>
  <si>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</si>
  <si>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</si>
  <si>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</si>
  <si>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</si>
  <si>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</si>
  <si>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</si>
  <si>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</si>
  <si>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</si>
  <si>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</si>
  <si>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</si>
  <si>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</si>
  <si>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</si>
  <si>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</si>
  <si>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</si>
  <si>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</si>
  <si>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</si>
  <si>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</si>
  <si>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</si>
  <si>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</si>
  <si>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</si>
  <si>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</si>
  <si>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</si>
  <si>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</si>
  <si>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</si>
  <si>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</si>
  <si>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</si>
  <si>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</si>
  <si>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</si>
  <si>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</si>
  <si>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</si>
  <si>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</si>
  <si>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</si>
  <si>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</si>
  <si>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</si>
  <si>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</si>
  <si>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</si>
  <si>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</si>
  <si>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</si>
  <si>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</si>
  <si>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</si>
  <si>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</si>
  <si>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</si>
  <si>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</si>
  <si>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</si>
  <si>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</si>
  <si>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</si>
  <si>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</si>
  <si>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</si>
  <si>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</si>
  <si>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</si>
  <si>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</si>
  <si>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</si>
  <si>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</si>
  <si>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</si>
  <si>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</si>
  <si>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</si>
  <si>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</si>
  <si>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</si>
  <si>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</si>
  <si>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</si>
  <si>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</si>
  <si>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</si>
  <si>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</si>
  <si>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</si>
  <si>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</si>
  <si>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</si>
  <si>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</si>
  <si>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</si>
  <si>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</si>
  <si>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</si>
  <si>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</si>
  <si>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</si>
  <si>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</si>
  <si>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</si>
  <si>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</si>
  <si>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</si>
  <si>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</si>
  <si>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</si>
  <si>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</si>
  <si>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</si>
  <si>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</si>
  <si>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</si>
  <si>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</si>
  <si>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</si>
  <si>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</si>
  <si>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</si>
  <si>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</si>
  <si>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</si>
  <si>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</si>
  <si>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</si>
  <si>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</si>
  <si>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</si>
  <si>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</si>
  <si>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</si>
  <si>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</si>
  <si>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</si>
  <si>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</si>
  <si>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</si>
  <si>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</si>
  <si>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</si>
  <si>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</si>
  <si>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</si>
  <si>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</si>
  <si>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</si>
  <si>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</si>
  <si>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</si>
  <si>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</si>
  <si>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</si>
  <si>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</si>
  <si>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</si>
  <si>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</si>
  <si>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</si>
  <si>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</si>
  <si>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</si>
  <si>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</si>
  <si>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Field trips are not funded thru the budget.  The costs are covered by fund raising activities such as bake sales, etc.</t>
  </si>
  <si>
    <t>09/99</t>
  </si>
  <si>
    <t>09/15</t>
  </si>
  <si>
    <t>11/22</t>
  </si>
  <si>
    <t>08/07</t>
  </si>
  <si>
    <t>11/23</t>
  </si>
  <si>
    <t>01/10</t>
  </si>
  <si>
    <t>07/25</t>
  </si>
  <si>
    <t>First payment scheduled for 7/15/11</t>
  </si>
  <si>
    <t xml:space="preserve">Debt 2 &amp; Debt 3 are for a Honeywell Energy renovations including equipment - 15 year rental payments paid for by </t>
  </si>
  <si>
    <t>energy savings</t>
  </si>
  <si>
    <t>Debt 4 is the Qualified School Construction Bond for the wood chip energy plant</t>
  </si>
  <si>
    <t>PEMBROKE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</si>
</sst>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3B7D-0143-439E-82A1-6597AA533635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906</v>
      </c>
      <c r="B2" s="21">
        <v>427</v>
      </c>
      <c r="C2" s="21">
        <v>427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583928.93999999994</v>
      </c>
      <c r="G9" s="18">
        <v>31709.84</v>
      </c>
      <c r="H9" s="18"/>
      <c r="I9" s="18">
        <v>2007980.05</v>
      </c>
      <c r="J9" s="67">
        <f>SUM(I431)</f>
        <v>513856.88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>
        <v>147266.99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170986.61</v>
      </c>
      <c r="G13" s="18">
        <v>11484.59</v>
      </c>
      <c r="H13" s="18">
        <v>120067.04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0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3999.29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4463.99</v>
      </c>
      <c r="G17" s="18">
        <v>3351.12</v>
      </c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759379.53999999992</v>
      </c>
      <c r="G19" s="41">
        <f>SUM(G9:G18)</f>
        <v>197811.83</v>
      </c>
      <c r="H19" s="41">
        <f>SUM(H9:H18)</f>
        <v>120067.04</v>
      </c>
      <c r="I19" s="41">
        <f>SUM(I9:I18)</f>
        <v>2007980.05</v>
      </c>
      <c r="J19" s="41">
        <f>SUM(J9:J18)</f>
        <v>513856.88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42169.36</v>
      </c>
      <c r="G23" s="18" t="s">
        <v>310</v>
      </c>
      <c r="H23" s="18">
        <v>105097.63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155207.39000000001</v>
      </c>
      <c r="G24" s="18">
        <v>45191.09</v>
      </c>
      <c r="H24" s="18">
        <v>7498.29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0</v>
      </c>
      <c r="G25" s="18">
        <v>0</v>
      </c>
      <c r="H25" s="18">
        <v>0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51391.29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237794.86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/>
      <c r="H31" s="18">
        <v>7471.12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486562.9</v>
      </c>
      <c r="G33" s="41">
        <f>SUM(G23:G32)</f>
        <v>45191.09</v>
      </c>
      <c r="H33" s="41">
        <f>SUM(H23:H32)</f>
        <v>120067.04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250000</v>
      </c>
      <c r="G41" s="18">
        <v>152620.74</v>
      </c>
      <c r="H41" s="18"/>
      <c r="I41" s="18">
        <v>2007980.05</v>
      </c>
      <c r="J41" s="13">
        <f>SUM(I449)</f>
        <v>513856.88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22816.639999999999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272816.64000000001</v>
      </c>
      <c r="G43" s="41">
        <f>SUM(G35:G42)</f>
        <v>152620.74</v>
      </c>
      <c r="H43" s="41">
        <f>SUM(H35:H42)</f>
        <v>0</v>
      </c>
      <c r="I43" s="41">
        <f>SUM(I35:I42)</f>
        <v>2007980.05</v>
      </c>
      <c r="J43" s="41">
        <f>SUM(J35:J42)</f>
        <v>513856.88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759379.54</v>
      </c>
      <c r="G44" s="41">
        <f>G43+G33</f>
        <v>197811.83</v>
      </c>
      <c r="H44" s="41">
        <f>H43+H33</f>
        <v>120067.04</v>
      </c>
      <c r="I44" s="41">
        <f>I43+I33</f>
        <v>2007980.05</v>
      </c>
      <c r="J44" s="41">
        <f>J43+J33</f>
        <v>513856.88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8540932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8540932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22516.5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>
        <v>10284.68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10465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4902864.1500000004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822852.99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5758698.6400000006</v>
      </c>
      <c r="G71" s="45" t="s">
        <v>312</v>
      </c>
      <c r="H71" s="41">
        <f>SUM(H55:H70)</f>
        <v>10284.68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6032.84</v>
      </c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6032.84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2060.5100000000002</v>
      </c>
      <c r="G88" s="18">
        <v>81.72</v>
      </c>
      <c r="H88" s="18"/>
      <c r="I88" s="18"/>
      <c r="J88" s="18">
        <v>1298.54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443807.82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>
        <v>0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31446.57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12012.34</v>
      </c>
      <c r="G102" s="18">
        <v>444.37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45519.42</v>
      </c>
      <c r="G103" s="41">
        <f>SUM(G88:G102)</f>
        <v>444333.91</v>
      </c>
      <c r="H103" s="41">
        <f>SUM(H88:H102)</f>
        <v>0</v>
      </c>
      <c r="I103" s="41">
        <f>SUM(I88:I102)</f>
        <v>0</v>
      </c>
      <c r="J103" s="41">
        <f>SUM(J88:J102)</f>
        <v>1298.54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14351182.9</v>
      </c>
      <c r="G104" s="41">
        <f>G52+G103</f>
        <v>444333.91</v>
      </c>
      <c r="H104" s="41">
        <f>H52+H71+H86+H103</f>
        <v>10284.68</v>
      </c>
      <c r="I104" s="41">
        <f>I52+I103</f>
        <v>0</v>
      </c>
      <c r="J104" s="41">
        <f>J52+J103</f>
        <v>1298.54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3994013.45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1393997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1532379.55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6920390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358632.52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552501.5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9174.7199999999993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6455.9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920308.74</v>
      </c>
      <c r="G128" s="41">
        <f>SUM(G115:G127)</f>
        <v>6455.9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7840698.7400000002</v>
      </c>
      <c r="G132" s="41">
        <f>G113+SUM(G128:G129)</f>
        <v>6455.9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319009.84999999998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298737.61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34748.61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212236.25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323702.95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>
        <v>3600000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323702.95</v>
      </c>
      <c r="G154" s="41">
        <f>SUM(G142:G153)</f>
        <v>212236.25</v>
      </c>
      <c r="H154" s="41">
        <f>SUM(H142:H153)</f>
        <v>652496.06999999995</v>
      </c>
      <c r="I154" s="41">
        <f>SUM(I142:I153)</f>
        <v>3600000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323702.95</v>
      </c>
      <c r="G161" s="41">
        <f>G139+G154+SUM(G155:G160)</f>
        <v>212236.25</v>
      </c>
      <c r="H161" s="41">
        <f>H139+H154+SUM(H155:H160)</f>
        <v>652496.06999999995</v>
      </c>
      <c r="I161" s="41">
        <f>I139+I154+SUM(I155:I160)</f>
        <v>3600000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120000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120000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40247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15433.28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55680.28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55680.28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120000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22571264.870000001</v>
      </c>
      <c r="G185" s="47">
        <f>G104+G132+G161+G184</f>
        <v>663026.06000000006</v>
      </c>
      <c r="H185" s="47">
        <f>H104+H132+H161+H184</f>
        <v>662780.75</v>
      </c>
      <c r="I185" s="47">
        <f>I104+I132+I161+I184</f>
        <v>3600000</v>
      </c>
      <c r="J185" s="47">
        <f>J104+J132+J184</f>
        <v>121298.54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3160103.5</v>
      </c>
      <c r="G189" s="18">
        <v>1452988.71</v>
      </c>
      <c r="H189" s="18">
        <v>28714.75</v>
      </c>
      <c r="I189" s="18">
        <v>50365.87</v>
      </c>
      <c r="J189" s="18">
        <v>23743.99</v>
      </c>
      <c r="K189" s="18">
        <v>0</v>
      </c>
      <c r="L189" s="19">
        <f>SUM(F189:K189)</f>
        <v>4715916.82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1359290.73</v>
      </c>
      <c r="G190" s="18">
        <v>626063.38</v>
      </c>
      <c r="H190" s="18">
        <v>516717.9</v>
      </c>
      <c r="I190" s="18">
        <v>3703.15</v>
      </c>
      <c r="J190" s="18">
        <v>5637.18</v>
      </c>
      <c r="K190" s="18">
        <v>530</v>
      </c>
      <c r="L190" s="19">
        <f>SUM(F190:K190)</f>
        <v>2511942.34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39339</v>
      </c>
      <c r="G192" s="18">
        <v>18260.18</v>
      </c>
      <c r="H192" s="18">
        <v>5148</v>
      </c>
      <c r="I192" s="18">
        <v>870.85</v>
      </c>
      <c r="J192" s="18">
        <v>0</v>
      </c>
      <c r="K192" s="18">
        <v>140</v>
      </c>
      <c r="L192" s="19">
        <f>SUM(F192:K192)</f>
        <v>63758.03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258713.48</v>
      </c>
      <c r="G194" s="18">
        <v>119995.48</v>
      </c>
      <c r="H194" s="18">
        <v>473861.88</v>
      </c>
      <c r="I194" s="18">
        <v>5963.36</v>
      </c>
      <c r="J194" s="18">
        <v>0</v>
      </c>
      <c r="K194" s="18"/>
      <c r="L194" s="19">
        <f t="shared" ref="L194:L200" si="0">SUM(F194:K194)</f>
        <v>858534.20000000007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113502.77</v>
      </c>
      <c r="G195" s="18">
        <v>73484.95</v>
      </c>
      <c r="H195" s="18">
        <v>21470.16</v>
      </c>
      <c r="I195" s="18">
        <v>10541.48</v>
      </c>
      <c r="J195" s="18">
        <v>220.95</v>
      </c>
      <c r="K195" s="18"/>
      <c r="L195" s="19">
        <f t="shared" si="0"/>
        <v>219220.31000000003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2865.92</v>
      </c>
      <c r="G196" s="18">
        <v>2608.6</v>
      </c>
      <c r="H196" s="18">
        <v>273749.27</v>
      </c>
      <c r="I196" s="18">
        <v>738.2</v>
      </c>
      <c r="J196" s="18"/>
      <c r="K196" s="18">
        <v>4675.43</v>
      </c>
      <c r="L196" s="19">
        <f t="shared" si="0"/>
        <v>284637.42000000004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478578.82</v>
      </c>
      <c r="G197" s="18">
        <v>219731.18</v>
      </c>
      <c r="H197" s="18">
        <v>14974.46</v>
      </c>
      <c r="I197" s="18">
        <v>8240.82</v>
      </c>
      <c r="J197" s="18">
        <v>93.75</v>
      </c>
      <c r="K197" s="18">
        <v>2990.57</v>
      </c>
      <c r="L197" s="19">
        <f t="shared" si="0"/>
        <v>724609.59999999986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252927.65</v>
      </c>
      <c r="G199" s="18">
        <v>117386.88</v>
      </c>
      <c r="H199" s="18">
        <v>123259.63</v>
      </c>
      <c r="I199" s="18">
        <v>202072.38</v>
      </c>
      <c r="J199" s="18">
        <v>127</v>
      </c>
      <c r="K199" s="18"/>
      <c r="L199" s="19">
        <f t="shared" si="0"/>
        <v>695773.54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430230.19</v>
      </c>
      <c r="I200" s="18"/>
      <c r="J200" s="18"/>
      <c r="K200" s="18"/>
      <c r="L200" s="19">
        <f t="shared" si="0"/>
        <v>430230.19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5665321.870000001</v>
      </c>
      <c r="G203" s="41">
        <f t="shared" si="1"/>
        <v>2630519.3600000003</v>
      </c>
      <c r="H203" s="41">
        <f t="shared" si="1"/>
        <v>1888126.2399999998</v>
      </c>
      <c r="I203" s="41">
        <f t="shared" si="1"/>
        <v>282496.11</v>
      </c>
      <c r="J203" s="41">
        <f t="shared" si="1"/>
        <v>29822.870000000003</v>
      </c>
      <c r="K203" s="41">
        <f t="shared" si="1"/>
        <v>8336</v>
      </c>
      <c r="L203" s="41">
        <f t="shared" si="1"/>
        <v>10504622.450000001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2770243.75</v>
      </c>
      <c r="G225" s="18">
        <v>1094069.8400000001</v>
      </c>
      <c r="H225" s="18">
        <v>57241.22</v>
      </c>
      <c r="I225" s="18">
        <v>122898.24000000001</v>
      </c>
      <c r="J225" s="18">
        <v>64137.58</v>
      </c>
      <c r="K225" s="18">
        <v>1471</v>
      </c>
      <c r="L225" s="19">
        <f>SUM(F225:K225)</f>
        <v>4110061.6300000004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1022944.49</v>
      </c>
      <c r="G226" s="18">
        <v>406501.54</v>
      </c>
      <c r="H226" s="18">
        <v>1010808.15</v>
      </c>
      <c r="I226" s="18">
        <v>9454.98</v>
      </c>
      <c r="J226" s="18">
        <v>13698.69</v>
      </c>
      <c r="K226" s="18">
        <v>895</v>
      </c>
      <c r="L226" s="19">
        <f>SUM(F226:K226)</f>
        <v>2464302.85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608179.13</v>
      </c>
      <c r="G227" s="18">
        <v>241578.06</v>
      </c>
      <c r="H227" s="18">
        <v>92751.86</v>
      </c>
      <c r="I227" s="18">
        <v>30373</v>
      </c>
      <c r="J227" s="18">
        <v>8059.68</v>
      </c>
      <c r="K227" s="18">
        <v>89</v>
      </c>
      <c r="L227" s="19">
        <f>SUM(F227:K227)</f>
        <v>981030.73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256230</v>
      </c>
      <c r="G228" s="18">
        <v>102206.1</v>
      </c>
      <c r="H228" s="18">
        <v>48602.64</v>
      </c>
      <c r="I228" s="18">
        <v>11156.86</v>
      </c>
      <c r="J228" s="18">
        <v>425</v>
      </c>
      <c r="K228" s="18">
        <v>24161.63</v>
      </c>
      <c r="L228" s="19">
        <f>SUM(F228:K228)</f>
        <v>442782.23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319954.8</v>
      </c>
      <c r="G230" s="18">
        <v>127757.63</v>
      </c>
      <c r="H230" s="18">
        <v>283569.51</v>
      </c>
      <c r="I230" s="18">
        <v>3429.8</v>
      </c>
      <c r="J230" s="18">
        <v>0</v>
      </c>
      <c r="K230" s="18">
        <v>35</v>
      </c>
      <c r="L230" s="19">
        <f t="shared" ref="L230:L236" si="4">SUM(F230:K230)</f>
        <v>734746.74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79810.16</v>
      </c>
      <c r="G231" s="18">
        <v>61207.12</v>
      </c>
      <c r="H231" s="18">
        <v>16117.17</v>
      </c>
      <c r="I231" s="18">
        <v>27909.63</v>
      </c>
      <c r="J231" s="18">
        <v>1472.86</v>
      </c>
      <c r="K231" s="18"/>
      <c r="L231" s="19">
        <f t="shared" si="4"/>
        <v>186516.94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2867.85</v>
      </c>
      <c r="G232" s="18">
        <v>2322.86</v>
      </c>
      <c r="H232" s="18">
        <v>270236.74</v>
      </c>
      <c r="I232" s="18">
        <v>775.75</v>
      </c>
      <c r="J232" s="18"/>
      <c r="K232" s="18">
        <v>4565.9399999999996</v>
      </c>
      <c r="L232" s="19">
        <f t="shared" si="4"/>
        <v>280769.14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431660.58</v>
      </c>
      <c r="G233" s="18">
        <v>180323.58</v>
      </c>
      <c r="H233" s="18">
        <v>22005.66</v>
      </c>
      <c r="I233" s="18">
        <v>18027.759999999998</v>
      </c>
      <c r="J233" s="18">
        <v>6275.84</v>
      </c>
      <c r="K233" s="18">
        <v>19367.54</v>
      </c>
      <c r="L233" s="19">
        <f t="shared" si="4"/>
        <v>677660.96000000008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364252.44</v>
      </c>
      <c r="G235" s="18">
        <v>144017.69</v>
      </c>
      <c r="H235" s="18">
        <v>97283.67</v>
      </c>
      <c r="I235" s="18">
        <v>184548.07</v>
      </c>
      <c r="J235" s="18">
        <v>6006.34</v>
      </c>
      <c r="K235" s="18"/>
      <c r="L235" s="19">
        <f t="shared" si="4"/>
        <v>796108.21000000008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244077.18</v>
      </c>
      <c r="I236" s="18"/>
      <c r="J236" s="18"/>
      <c r="K236" s="18"/>
      <c r="L236" s="19">
        <f t="shared" si="4"/>
        <v>244077.18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>
        <v>0</v>
      </c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5856143.2000000002</v>
      </c>
      <c r="G239" s="41">
        <f t="shared" si="5"/>
        <v>2359984.4200000004</v>
      </c>
      <c r="H239" s="41">
        <f t="shared" si="5"/>
        <v>2142693.7999999998</v>
      </c>
      <c r="I239" s="41">
        <f t="shared" si="5"/>
        <v>408574.09</v>
      </c>
      <c r="J239" s="41">
        <f t="shared" si="5"/>
        <v>100075.99</v>
      </c>
      <c r="K239" s="41">
        <f t="shared" si="5"/>
        <v>50585.11</v>
      </c>
      <c r="L239" s="41">
        <f t="shared" si="5"/>
        <v>10918056.610000003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320073.81</v>
      </c>
      <c r="I247" s="18"/>
      <c r="J247" s="18"/>
      <c r="K247" s="18"/>
      <c r="L247" s="19">
        <f t="shared" si="6"/>
        <v>320073.81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320073.81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320073.81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11521465.07</v>
      </c>
      <c r="G249" s="41">
        <f t="shared" si="8"/>
        <v>4990503.7800000012</v>
      </c>
      <c r="H249" s="41">
        <f t="shared" si="8"/>
        <v>4350893.8499999996</v>
      </c>
      <c r="I249" s="41">
        <f t="shared" si="8"/>
        <v>691070.2</v>
      </c>
      <c r="J249" s="41">
        <f t="shared" si="8"/>
        <v>129898.86000000002</v>
      </c>
      <c r="K249" s="41">
        <f t="shared" si="8"/>
        <v>58921.11</v>
      </c>
      <c r="L249" s="41">
        <f t="shared" si="8"/>
        <v>21742752.870000001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575000</v>
      </c>
      <c r="L252" s="19">
        <f>SUM(F252:K252)</f>
        <v>575000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138269.13</v>
      </c>
      <c r="L253" s="19">
        <f>SUM(F253:K253)</f>
        <v>138269.13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120000</v>
      </c>
      <c r="L258" s="19">
        <f t="shared" si="9"/>
        <v>120000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833269.13</v>
      </c>
      <c r="L262" s="41">
        <f t="shared" si="9"/>
        <v>833269.13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11521465.07</v>
      </c>
      <c r="G263" s="42">
        <f t="shared" si="11"/>
        <v>4990503.7800000012</v>
      </c>
      <c r="H263" s="42">
        <f t="shared" si="11"/>
        <v>4350893.8499999996</v>
      </c>
      <c r="I263" s="42">
        <f t="shared" si="11"/>
        <v>691070.2</v>
      </c>
      <c r="J263" s="42">
        <f t="shared" si="11"/>
        <v>129898.86000000002</v>
      </c>
      <c r="K263" s="42">
        <f t="shared" si="11"/>
        <v>892190.24</v>
      </c>
      <c r="L263" s="42">
        <f t="shared" si="11"/>
        <v>22576022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212236.33</v>
      </c>
      <c r="G268" s="18">
        <v>32337.22</v>
      </c>
      <c r="H268" s="18">
        <v>94462.31</v>
      </c>
      <c r="I268" s="18">
        <v>11717.49</v>
      </c>
      <c r="J268" s="18">
        <v>9003.56</v>
      </c>
      <c r="K268" s="18">
        <v>1966</v>
      </c>
      <c r="L268" s="19">
        <f>SUM(F268:K268)</f>
        <v>361722.91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>
        <v>11850.26</v>
      </c>
      <c r="J269" s="18">
        <v>71678.16</v>
      </c>
      <c r="K269" s="18"/>
      <c r="L269" s="19">
        <f>SUM(F269:K269)</f>
        <v>83528.42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1865</v>
      </c>
      <c r="G274" s="18">
        <v>-20.43</v>
      </c>
      <c r="H274" s="18">
        <v>7256.74</v>
      </c>
      <c r="I274" s="18"/>
      <c r="J274" s="18"/>
      <c r="K274" s="18"/>
      <c r="L274" s="19">
        <f t="shared" si="12"/>
        <v>9101.31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7671.27</v>
      </c>
      <c r="L275" s="19">
        <f t="shared" si="12"/>
        <v>7671.27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15150</v>
      </c>
      <c r="G276" s="18">
        <v>925.09</v>
      </c>
      <c r="H276" s="18">
        <v>2177.0500000000002</v>
      </c>
      <c r="I276" s="18"/>
      <c r="J276" s="18"/>
      <c r="K276" s="18"/>
      <c r="L276" s="19">
        <f t="shared" si="12"/>
        <v>18252.14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1300</v>
      </c>
      <c r="I279" s="18"/>
      <c r="J279" s="18"/>
      <c r="K279" s="18"/>
      <c r="L279" s="19">
        <f t="shared" si="12"/>
        <v>1300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229251.33</v>
      </c>
      <c r="G282" s="42">
        <f t="shared" si="13"/>
        <v>33241.879999999997</v>
      </c>
      <c r="H282" s="42">
        <f t="shared" si="13"/>
        <v>105196.1</v>
      </c>
      <c r="I282" s="42">
        <f t="shared" si="13"/>
        <v>23567.75</v>
      </c>
      <c r="J282" s="42">
        <f t="shared" si="13"/>
        <v>80681.72</v>
      </c>
      <c r="K282" s="42">
        <f t="shared" si="13"/>
        <v>9637.27</v>
      </c>
      <c r="L282" s="41">
        <f t="shared" si="13"/>
        <v>481576.05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 t="s">
        <v>310</v>
      </c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>
        <v>3334.54</v>
      </c>
      <c r="I307" s="18"/>
      <c r="J307" s="18">
        <v>146138.32999999999</v>
      </c>
      <c r="K307" s="18"/>
      <c r="L307" s="19">
        <f>SUM(F307:K307)</f>
        <v>149472.87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22125</v>
      </c>
      <c r="G311" s="18">
        <v>4257.33</v>
      </c>
      <c r="H311" s="18"/>
      <c r="I311" s="18">
        <v>5349.5</v>
      </c>
      <c r="J311" s="18">
        <v>0</v>
      </c>
      <c r="K311" s="18"/>
      <c r="L311" s="19">
        <f t="shared" ref="L311:L317" si="16">SUM(F311:K311)</f>
        <v>31731.83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22125</v>
      </c>
      <c r="G320" s="42">
        <f t="shared" si="17"/>
        <v>4257.33</v>
      </c>
      <c r="H320" s="42">
        <f t="shared" si="17"/>
        <v>3334.54</v>
      </c>
      <c r="I320" s="42">
        <f t="shared" si="17"/>
        <v>5349.5</v>
      </c>
      <c r="J320" s="42">
        <f t="shared" si="17"/>
        <v>146138.32999999999</v>
      </c>
      <c r="K320" s="42">
        <f t="shared" si="17"/>
        <v>0</v>
      </c>
      <c r="L320" s="41">
        <f t="shared" si="17"/>
        <v>181204.7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251376.33</v>
      </c>
      <c r="G330" s="41">
        <f t="shared" si="20"/>
        <v>37499.21</v>
      </c>
      <c r="H330" s="41">
        <f t="shared" si="20"/>
        <v>108530.64</v>
      </c>
      <c r="I330" s="41">
        <f t="shared" si="20"/>
        <v>28917.25</v>
      </c>
      <c r="J330" s="41">
        <f t="shared" si="20"/>
        <v>226820.05</v>
      </c>
      <c r="K330" s="41">
        <f t="shared" si="20"/>
        <v>9637.27</v>
      </c>
      <c r="L330" s="41">
        <f t="shared" si="20"/>
        <v>662780.75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251376.33</v>
      </c>
      <c r="G344" s="41">
        <f>G330</f>
        <v>37499.21</v>
      </c>
      <c r="H344" s="41">
        <f>H330</f>
        <v>108530.64</v>
      </c>
      <c r="I344" s="41">
        <f>I330</f>
        <v>28917.25</v>
      </c>
      <c r="J344" s="41">
        <f>J330</f>
        <v>226820.05</v>
      </c>
      <c r="K344" s="47">
        <f>K330+K343</f>
        <v>9637.27</v>
      </c>
      <c r="L344" s="41">
        <f>L330+L343</f>
        <v>662780.75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103664.87</v>
      </c>
      <c r="G350" s="18">
        <v>25235.31</v>
      </c>
      <c r="H350" s="18">
        <v>11311.71</v>
      </c>
      <c r="I350" s="18">
        <v>143615.81</v>
      </c>
      <c r="J350" s="18">
        <v>28685.16</v>
      </c>
      <c r="K350" s="18">
        <v>156.6</v>
      </c>
      <c r="L350" s="13">
        <f>SUM(F350:K350)</f>
        <v>312669.4599999999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126701.51</v>
      </c>
      <c r="G352" s="18">
        <v>30843.16</v>
      </c>
      <c r="H352" s="18">
        <v>13825.43</v>
      </c>
      <c r="I352" s="18">
        <v>175530.44</v>
      </c>
      <c r="J352" s="18">
        <v>35059.629999999997</v>
      </c>
      <c r="K352" s="18">
        <v>191.4</v>
      </c>
      <c r="L352" s="19">
        <f>SUM(F352:K352)</f>
        <v>382151.57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230366.38</v>
      </c>
      <c r="G354" s="47">
        <f t="shared" si="22"/>
        <v>56078.47</v>
      </c>
      <c r="H354" s="47">
        <f t="shared" si="22"/>
        <v>25137.14</v>
      </c>
      <c r="I354" s="47">
        <f t="shared" si="22"/>
        <v>319146.25</v>
      </c>
      <c r="J354" s="47">
        <f t="shared" si="22"/>
        <v>63744.789999999994</v>
      </c>
      <c r="K354" s="47">
        <f t="shared" si="22"/>
        <v>348</v>
      </c>
      <c r="L354" s="47">
        <f t="shared" si="22"/>
        <v>694821.02999999991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135217</v>
      </c>
      <c r="G359" s="18"/>
      <c r="H359" s="18">
        <v>165265.23000000001</v>
      </c>
      <c r="I359" s="56">
        <f>SUM(F359:H359)</f>
        <v>300482.23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8398.81</v>
      </c>
      <c r="G360" s="63"/>
      <c r="H360" s="63">
        <v>10265.209999999999</v>
      </c>
      <c r="I360" s="56">
        <f>SUM(F360:H360)</f>
        <v>18664.019999999997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143615.81</v>
      </c>
      <c r="G361" s="47">
        <f>SUM(G359:G360)</f>
        <v>0</v>
      </c>
      <c r="H361" s="47">
        <f>SUM(H359:H360)</f>
        <v>175530.44</v>
      </c>
      <c r="I361" s="47">
        <f>SUM(I359:I360)</f>
        <v>319146.25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v>1592019.95</v>
      </c>
      <c r="I371" s="18"/>
      <c r="J371" s="18"/>
      <c r="K371" s="18"/>
      <c r="L371" s="13">
        <f t="shared" si="23"/>
        <v>1592019.95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1592019.95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1592019.95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50000</v>
      </c>
      <c r="H381" s="18">
        <v>203.12</v>
      </c>
      <c r="I381" s="18"/>
      <c r="J381" s="24" t="s">
        <v>312</v>
      </c>
      <c r="K381" s="24" t="s">
        <v>312</v>
      </c>
      <c r="L381" s="56">
        <f t="shared" si="25"/>
        <v>50203.12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50000</v>
      </c>
      <c r="H385" s="139">
        <f>SUM(H379:H384)</f>
        <v>203.12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50203.12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50000</v>
      </c>
      <c r="H389" s="18">
        <v>739.83</v>
      </c>
      <c r="I389" s="18"/>
      <c r="J389" s="24" t="s">
        <v>312</v>
      </c>
      <c r="K389" s="24" t="s">
        <v>312</v>
      </c>
      <c r="L389" s="56">
        <f t="shared" si="26"/>
        <v>50739.83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20000</v>
      </c>
      <c r="H392" s="18">
        <v>355.59</v>
      </c>
      <c r="I392" s="18"/>
      <c r="J392" s="24" t="s">
        <v>312</v>
      </c>
      <c r="K392" s="24" t="s">
        <v>312</v>
      </c>
      <c r="L392" s="56">
        <f t="shared" si="26"/>
        <v>20355.59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70000</v>
      </c>
      <c r="H393" s="47">
        <f>SUM(H387:H392)</f>
        <v>1095.42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71095.42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120000</v>
      </c>
      <c r="H400" s="47">
        <f>H385+H393+H399</f>
        <v>1298.54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121298.54000000001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v>40247</v>
      </c>
      <c r="L407" s="56">
        <f t="shared" si="27"/>
        <v>40247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40247</v>
      </c>
      <c r="L411" s="47">
        <f t="shared" si="28"/>
        <v>40247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>
        <v>15433.38</v>
      </c>
      <c r="L418" s="56">
        <f t="shared" si="29"/>
        <v>15433.38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15433.38</v>
      </c>
      <c r="L419" s="47">
        <f t="shared" si="30"/>
        <v>15433.38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55680.38</v>
      </c>
      <c r="L426" s="47">
        <f t="shared" si="32"/>
        <v>55680.38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73246.490000000005</v>
      </c>
      <c r="G431" s="18">
        <v>440610.39</v>
      </c>
      <c r="H431" s="18"/>
      <c r="I431" s="56">
        <f t="shared" ref="I431:I437" si="33">SUM(F431:H431)</f>
        <v>513856.88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73246.490000000005</v>
      </c>
      <c r="G438" s="13">
        <f>SUM(G431:G437)</f>
        <v>440610.39</v>
      </c>
      <c r="H438" s="13">
        <f>SUM(H431:H437)</f>
        <v>0</v>
      </c>
      <c r="I438" s="13">
        <f>SUM(I431:I437)</f>
        <v>513856.88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73246.490000000005</v>
      </c>
      <c r="G449" s="18">
        <v>440610.39</v>
      </c>
      <c r="H449" s="18"/>
      <c r="I449" s="56">
        <f>SUM(F449:H449)</f>
        <v>513856.88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73246.490000000005</v>
      </c>
      <c r="G450" s="83">
        <f>SUM(G446:G449)</f>
        <v>440610.39</v>
      </c>
      <c r="H450" s="83">
        <f>SUM(H446:H449)</f>
        <v>0</v>
      </c>
      <c r="I450" s="83">
        <f>SUM(I446:I449)</f>
        <v>513856.88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73246.490000000005</v>
      </c>
      <c r="G451" s="42">
        <f>G444+G450</f>
        <v>440610.39</v>
      </c>
      <c r="H451" s="42">
        <f>H444+H450</f>
        <v>0</v>
      </c>
      <c r="I451" s="42">
        <f>I444+I450</f>
        <v>513856.88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277573.77</v>
      </c>
      <c r="G455" s="18">
        <v>184415.71</v>
      </c>
      <c r="H455" s="18">
        <v>0</v>
      </c>
      <c r="I455" s="18">
        <v>0</v>
      </c>
      <c r="J455" s="18">
        <v>448238.72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22571264.870000001</v>
      </c>
      <c r="G458" s="18">
        <v>663026.06000000006</v>
      </c>
      <c r="H458" s="18">
        <v>662780.75</v>
      </c>
      <c r="I458" s="18">
        <v>3600000</v>
      </c>
      <c r="J458" s="18">
        <v>121298.54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22571264.870000001</v>
      </c>
      <c r="G460" s="53">
        <f>SUM(G458:G459)</f>
        <v>663026.06000000006</v>
      </c>
      <c r="H460" s="53">
        <f>SUM(H458:H459)</f>
        <v>662780.75</v>
      </c>
      <c r="I460" s="53">
        <f>SUM(I458:I459)</f>
        <v>3600000</v>
      </c>
      <c r="J460" s="53">
        <f>SUM(J458:J459)</f>
        <v>121298.54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22576022</v>
      </c>
      <c r="G462" s="18">
        <v>694821.03</v>
      </c>
      <c r="H462" s="18">
        <v>662780.75</v>
      </c>
      <c r="I462" s="18">
        <v>1592019.95</v>
      </c>
      <c r="J462" s="18">
        <v>55680.38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22576022</v>
      </c>
      <c r="G464" s="53">
        <f>SUM(G462:G463)</f>
        <v>694821.03</v>
      </c>
      <c r="H464" s="53">
        <f>SUM(H462:H463)</f>
        <v>662780.75</v>
      </c>
      <c r="I464" s="53">
        <f>SUM(I462:I463)</f>
        <v>1592019.95</v>
      </c>
      <c r="J464" s="53">
        <f>SUM(J462:J463)</f>
        <v>55680.38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272816.6400000006</v>
      </c>
      <c r="G466" s="53">
        <f>(G455+G460)- G464</f>
        <v>152620.74</v>
      </c>
      <c r="H466" s="53">
        <f>(H455+H460)- H464</f>
        <v>0</v>
      </c>
      <c r="I466" s="53">
        <f>(I455+I460)- I464</f>
        <v>2007980.05</v>
      </c>
      <c r="J466" s="53">
        <f>(J455+J460)- J464</f>
        <v>513856.88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>
        <v>15</v>
      </c>
      <c r="H480" s="154">
        <v>15</v>
      </c>
      <c r="I480" s="154">
        <v>15</v>
      </c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898</v>
      </c>
      <c r="H481" s="155" t="s">
        <v>898</v>
      </c>
      <c r="I481" s="155" t="s">
        <v>900</v>
      </c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897</v>
      </c>
      <c r="H482" s="155" t="s">
        <v>899</v>
      </c>
      <c r="I482" s="155" t="s">
        <v>901</v>
      </c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8445000</v>
      </c>
      <c r="G483" s="18">
        <v>360109</v>
      </c>
      <c r="H483" s="18">
        <v>2459891</v>
      </c>
      <c r="I483" s="18">
        <v>3600000</v>
      </c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4.25</v>
      </c>
      <c r="G484" s="18">
        <v>4.68</v>
      </c>
      <c r="H484" s="18">
        <v>4.3</v>
      </c>
      <c r="I484" s="18">
        <v>1.65</v>
      </c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3270000</v>
      </c>
      <c r="G485" s="18">
        <v>343014.74</v>
      </c>
      <c r="H485" s="18">
        <v>2459891</v>
      </c>
      <c r="I485" s="18">
        <v>0</v>
      </c>
      <c r="J485" s="18"/>
      <c r="K485" s="53">
        <f>SUM(F485:J485)</f>
        <v>6072905.7400000002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575000</v>
      </c>
      <c r="G487" s="18">
        <v>17894.27</v>
      </c>
      <c r="H487" s="18">
        <v>120136.11</v>
      </c>
      <c r="I487" s="18">
        <v>0</v>
      </c>
      <c r="J487" s="18"/>
      <c r="K487" s="53">
        <f t="shared" si="34"/>
        <v>713030.38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2695000</v>
      </c>
      <c r="G488" s="205">
        <v>325120.46999999997</v>
      </c>
      <c r="H488" s="205">
        <v>2339754.89</v>
      </c>
      <c r="I488" s="205">
        <v>3600000</v>
      </c>
      <c r="J488" s="205"/>
      <c r="K488" s="206">
        <f t="shared" si="34"/>
        <v>8959875.3599999994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328608.15000000002</v>
      </c>
      <c r="G489" s="18">
        <v>116195.23</v>
      </c>
      <c r="H489" s="18">
        <v>823005.03</v>
      </c>
      <c r="I489" s="18">
        <v>502590</v>
      </c>
      <c r="J489" s="18"/>
      <c r="K489" s="53">
        <f t="shared" si="34"/>
        <v>1770398.4100000001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3023608.15</v>
      </c>
      <c r="G490" s="42">
        <f>SUM(G488:G489)</f>
        <v>441315.69999999995</v>
      </c>
      <c r="H490" s="42">
        <f>SUM(H488:H489)</f>
        <v>3162759.92</v>
      </c>
      <c r="I490" s="42">
        <f>SUM(I488:I489)</f>
        <v>4102590</v>
      </c>
      <c r="J490" s="42">
        <f>SUM(J488:J489)</f>
        <v>0</v>
      </c>
      <c r="K490" s="42">
        <f t="shared" si="34"/>
        <v>10730273.77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575000</v>
      </c>
      <c r="G491" s="205">
        <v>18731.72</v>
      </c>
      <c r="H491" s="205">
        <v>125301.96</v>
      </c>
      <c r="I491" s="205" t="s">
        <v>310</v>
      </c>
      <c r="J491" s="205"/>
      <c r="K491" s="206">
        <f t="shared" si="34"/>
        <v>719033.67999999993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113831.63</v>
      </c>
      <c r="G492" s="18">
        <v>15215.64</v>
      </c>
      <c r="H492" s="18">
        <v>100609.46</v>
      </c>
      <c r="I492" s="18"/>
      <c r="J492" s="18"/>
      <c r="K492" s="53">
        <f t="shared" si="34"/>
        <v>229656.73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688831.63</v>
      </c>
      <c r="G493" s="42">
        <f>SUM(G491:G492)</f>
        <v>33947.360000000001</v>
      </c>
      <c r="H493" s="42">
        <f>SUM(H491:H492)</f>
        <v>225911.42</v>
      </c>
      <c r="I493" s="42">
        <f>SUM(I491:I492)</f>
        <v>0</v>
      </c>
      <c r="J493" s="42">
        <f>SUM(J491:J492)</f>
        <v>0</v>
      </c>
      <c r="K493" s="42">
        <f t="shared" si="34"/>
        <v>948690.41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51842.559999999998</v>
      </c>
      <c r="G497" s="144"/>
      <c r="H497" s="144">
        <v>-451.27</v>
      </c>
      <c r="I497" s="144">
        <v>51391.29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1359290.73</v>
      </c>
      <c r="G511" s="18">
        <v>626063.38</v>
      </c>
      <c r="H511" s="18">
        <v>516717.9</v>
      </c>
      <c r="I511" s="18">
        <v>15369.91</v>
      </c>
      <c r="J511" s="18">
        <v>77315.34</v>
      </c>
      <c r="K511" s="18">
        <v>530</v>
      </c>
      <c r="L511" s="88">
        <f>SUM(F511:K511)</f>
        <v>2595287.2599999998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1022944.49</v>
      </c>
      <c r="G513" s="18">
        <v>406501.54</v>
      </c>
      <c r="H513" s="18">
        <v>1010808.15</v>
      </c>
      <c r="I513" s="18">
        <v>12789.52</v>
      </c>
      <c r="J513" s="18">
        <v>159837.01999999999</v>
      </c>
      <c r="K513" s="18">
        <v>895</v>
      </c>
      <c r="L513" s="88">
        <f>SUM(F513:K513)</f>
        <v>2613775.7200000002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2382235.2199999997</v>
      </c>
      <c r="G514" s="108">
        <f t="shared" ref="G514:L514" si="35">SUM(G511:G513)</f>
        <v>1032564.9199999999</v>
      </c>
      <c r="H514" s="108">
        <f t="shared" si="35"/>
        <v>1527526.05</v>
      </c>
      <c r="I514" s="108">
        <f t="shared" si="35"/>
        <v>28159.43</v>
      </c>
      <c r="J514" s="108">
        <f t="shared" si="35"/>
        <v>237152.36</v>
      </c>
      <c r="K514" s="108">
        <f t="shared" si="35"/>
        <v>1425</v>
      </c>
      <c r="L514" s="89">
        <f t="shared" si="35"/>
        <v>5209062.9800000004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460811.28</v>
      </c>
      <c r="I516" s="18"/>
      <c r="J516" s="18"/>
      <c r="K516" s="18"/>
      <c r="L516" s="88">
        <f>SUM(F516:K516)</f>
        <v>460811.28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278525.14</v>
      </c>
      <c r="I518" s="18"/>
      <c r="J518" s="18"/>
      <c r="K518" s="18"/>
      <c r="L518" s="88">
        <f>SUM(F518:K518)</f>
        <v>278525.14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739336.42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739336.42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25863.29</v>
      </c>
      <c r="G521" s="18">
        <v>11832.43</v>
      </c>
      <c r="H521" s="18">
        <v>979.2</v>
      </c>
      <c r="I521" s="18"/>
      <c r="J521" s="18"/>
      <c r="K521" s="18"/>
      <c r="L521" s="88">
        <f>SUM(F521:K521)</f>
        <v>38674.92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6465.82</v>
      </c>
      <c r="G523" s="18">
        <v>2958.11</v>
      </c>
      <c r="H523" s="18">
        <v>244.8</v>
      </c>
      <c r="I523" s="18"/>
      <c r="J523" s="18"/>
      <c r="K523" s="18"/>
      <c r="L523" s="88">
        <f>SUM(F523:K523)</f>
        <v>9668.73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32329.11</v>
      </c>
      <c r="G524" s="89">
        <f t="shared" ref="G524:L524" si="37">SUM(G521:G523)</f>
        <v>14790.54</v>
      </c>
      <c r="H524" s="89">
        <f t="shared" si="37"/>
        <v>1224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48343.649999999994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2541.4499999999998</v>
      </c>
      <c r="I526" s="18"/>
      <c r="J526" s="18"/>
      <c r="K526" s="18"/>
      <c r="L526" s="88">
        <f>SUM(F526:K526)</f>
        <v>2541.4499999999998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2541.4499999999998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2541.4499999999998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175577.2</v>
      </c>
      <c r="I531" s="18"/>
      <c r="J531" s="18"/>
      <c r="K531" s="18"/>
      <c r="L531" s="88">
        <f>SUM(F531:K531)</f>
        <v>175577.2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174914.44</v>
      </c>
      <c r="I533" s="18"/>
      <c r="J533" s="18"/>
      <c r="K533" s="18"/>
      <c r="L533" s="88">
        <f>SUM(F533:K533)</f>
        <v>174914.44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350491.64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350491.64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2414564.3299999996</v>
      </c>
      <c r="G535" s="89">
        <f t="shared" ref="G535:L535" si="40">G514+G519+G524+G529+G534</f>
        <v>1047355.46</v>
      </c>
      <c r="H535" s="89">
        <f t="shared" si="40"/>
        <v>2621119.5600000005</v>
      </c>
      <c r="I535" s="89">
        <f t="shared" si="40"/>
        <v>28159.43</v>
      </c>
      <c r="J535" s="89">
        <f t="shared" si="40"/>
        <v>237152.36</v>
      </c>
      <c r="K535" s="89">
        <f t="shared" si="40"/>
        <v>1425</v>
      </c>
      <c r="L535" s="89">
        <f t="shared" si="40"/>
        <v>6349776.1400000006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2595287.2599999998</v>
      </c>
      <c r="G539" s="87">
        <f>L516</f>
        <v>460811.28</v>
      </c>
      <c r="H539" s="87">
        <f>L521</f>
        <v>38674.92</v>
      </c>
      <c r="I539" s="87">
        <f>L526</f>
        <v>2541.4499999999998</v>
      </c>
      <c r="J539" s="87">
        <f>L531</f>
        <v>175577.2</v>
      </c>
      <c r="K539" s="87">
        <f>SUM(F539:J539)</f>
        <v>3272892.1100000003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2613775.7200000002</v>
      </c>
      <c r="G541" s="87">
        <f>L518</f>
        <v>278525.14</v>
      </c>
      <c r="H541" s="87">
        <f>L523</f>
        <v>9668.73</v>
      </c>
      <c r="I541" s="87">
        <f>L528</f>
        <v>0</v>
      </c>
      <c r="J541" s="87">
        <f>L533</f>
        <v>174914.44</v>
      </c>
      <c r="K541" s="87">
        <f>SUM(F541:J541)</f>
        <v>3076884.0300000003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5209062.9800000004</v>
      </c>
      <c r="G542" s="89">
        <f t="shared" si="41"/>
        <v>739336.42</v>
      </c>
      <c r="H542" s="89">
        <f t="shared" si="41"/>
        <v>48343.649999999994</v>
      </c>
      <c r="I542" s="89">
        <f t="shared" si="41"/>
        <v>2541.4499999999998</v>
      </c>
      <c r="J542" s="89">
        <f t="shared" si="41"/>
        <v>350491.64</v>
      </c>
      <c r="K542" s="89">
        <f t="shared" si="41"/>
        <v>6349776.1400000006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14805</v>
      </c>
      <c r="G552" s="18">
        <v>6807.21</v>
      </c>
      <c r="H552" s="18"/>
      <c r="I552" s="18"/>
      <c r="J552" s="18"/>
      <c r="K552" s="18"/>
      <c r="L552" s="88">
        <f>SUM(F552:K552)</f>
        <v>21612.21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15002</v>
      </c>
      <c r="G554" s="18">
        <v>5924.83</v>
      </c>
      <c r="H554" s="18"/>
      <c r="I554" s="18"/>
      <c r="J554" s="18"/>
      <c r="K554" s="18"/>
      <c r="L554" s="88">
        <f>SUM(F554:K554)</f>
        <v>20926.830000000002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29807</v>
      </c>
      <c r="G555" s="89">
        <f t="shared" si="43"/>
        <v>12732.04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42539.040000000001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>
        <v>183.5</v>
      </c>
      <c r="J557" s="18"/>
      <c r="K557" s="18"/>
      <c r="L557" s="88">
        <f>SUM(F557:K557)</f>
        <v>183.5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183.5</v>
      </c>
      <c r="J560" s="194">
        <f t="shared" si="44"/>
        <v>0</v>
      </c>
      <c r="K560" s="194">
        <f t="shared" si="44"/>
        <v>0</v>
      </c>
      <c r="L560" s="194">
        <f t="shared" si="44"/>
        <v>183.5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29807</v>
      </c>
      <c r="G561" s="89">
        <f t="shared" ref="G561:L561" si="45">G550+G555+G560</f>
        <v>12732.04</v>
      </c>
      <c r="H561" s="89">
        <f t="shared" si="45"/>
        <v>0</v>
      </c>
      <c r="I561" s="89">
        <f t="shared" si="45"/>
        <v>183.5</v>
      </c>
      <c r="J561" s="89">
        <f t="shared" si="45"/>
        <v>0</v>
      </c>
      <c r="K561" s="89">
        <f t="shared" si="45"/>
        <v>0</v>
      </c>
      <c r="L561" s="89">
        <f t="shared" si="45"/>
        <v>42722.54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616</v>
      </c>
      <c r="G565" s="18"/>
      <c r="H565" s="18">
        <v>6854.16</v>
      </c>
      <c r="I565" s="87">
        <f>SUM(F565:H565)</f>
        <v>7470.16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343410.31</v>
      </c>
      <c r="G569" s="18"/>
      <c r="H569" s="18">
        <v>417085.08</v>
      </c>
      <c r="I569" s="87">
        <f t="shared" si="46"/>
        <v>760495.39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117433</v>
      </c>
      <c r="G570" s="18"/>
      <c r="H570" s="18">
        <v>58990.23</v>
      </c>
      <c r="I570" s="87">
        <f t="shared" si="46"/>
        <v>176423.23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54644.93</v>
      </c>
      <c r="G573" s="18"/>
      <c r="H573" s="18">
        <v>531129.09</v>
      </c>
      <c r="I573" s="87">
        <f t="shared" si="46"/>
        <v>585774.02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91171.72</v>
      </c>
      <c r="I574" s="87">
        <f t="shared" si="46"/>
        <v>91171.72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251470.24</v>
      </c>
      <c r="I581" s="18"/>
      <c r="J581" s="18" t="s">
        <v>310</v>
      </c>
      <c r="K581" s="104">
        <f t="shared" ref="K581:K587" si="47">SUM(H581:J581)</f>
        <v>251470.24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175577.2</v>
      </c>
      <c r="I582" s="18"/>
      <c r="J582" s="18">
        <v>174914.44</v>
      </c>
      <c r="K582" s="104">
        <f t="shared" si="47"/>
        <v>350491.64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33749.49</v>
      </c>
      <c r="K583" s="104">
        <f t="shared" si="47"/>
        <v>33749.49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3182.75</v>
      </c>
      <c r="I584" s="18"/>
      <c r="J584" s="18">
        <v>35413.25</v>
      </c>
      <c r="K584" s="104">
        <f t="shared" si="47"/>
        <v>38596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430230.19</v>
      </c>
      <c r="I588" s="108">
        <f>SUM(I581:I587)</f>
        <v>0</v>
      </c>
      <c r="J588" s="108">
        <f>SUM(J581:J587)</f>
        <v>244077.18</v>
      </c>
      <c r="K588" s="108">
        <f>SUM(K581:K587)</f>
        <v>674307.37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110504.59</v>
      </c>
      <c r="I594" s="18"/>
      <c r="J594" s="18">
        <v>246214.32</v>
      </c>
      <c r="K594" s="104">
        <f>SUM(H594:J594)</f>
        <v>356718.91000000003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110504.59</v>
      </c>
      <c r="I595" s="108">
        <f>SUM(I592:I594)</f>
        <v>0</v>
      </c>
      <c r="J595" s="108">
        <f>SUM(J592:J594)</f>
        <v>246214.32</v>
      </c>
      <c r="K595" s="108">
        <f>SUM(K592:K594)</f>
        <v>356718.91000000003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9600</v>
      </c>
      <c r="G603" s="18">
        <v>684.68</v>
      </c>
      <c r="H603" s="18"/>
      <c r="I603" s="18"/>
      <c r="J603" s="18"/>
      <c r="K603" s="18"/>
      <c r="L603" s="88">
        <f>SUM(F603:K603)</f>
        <v>10284.68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9600</v>
      </c>
      <c r="G604" s="108">
        <f t="shared" si="48"/>
        <v>684.68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10284.68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759379.53999999992</v>
      </c>
      <c r="H607" s="109">
        <f>SUM(F44)</f>
        <v>759379.54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197811.83</v>
      </c>
      <c r="H608" s="109">
        <f>SUM(G44)</f>
        <v>197811.83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120067.04</v>
      </c>
      <c r="H609" s="109">
        <f>SUM(H44)</f>
        <v>120067.04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2007980.05</v>
      </c>
      <c r="H610" s="109">
        <f>SUM(I44)</f>
        <v>2007980.05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513856.88</v>
      </c>
      <c r="H611" s="109">
        <f>SUM(J44)</f>
        <v>513856.88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272816.64000000001</v>
      </c>
      <c r="H612" s="109">
        <f>F466</f>
        <v>272816.6400000006</v>
      </c>
      <c r="I612" s="121" t="s">
        <v>106</v>
      </c>
      <c r="J612" s="109">
        <f t="shared" ref="J612:J645" si="49">G612-H612</f>
        <v>-5.8207660913467407E-10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152620.74</v>
      </c>
      <c r="H613" s="109">
        <f>G466</f>
        <v>152620.74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2007980.05</v>
      </c>
      <c r="H615" s="109">
        <f>I466</f>
        <v>2007980.05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513856.88</v>
      </c>
      <c r="H616" s="109">
        <f>J466</f>
        <v>513856.88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22571264.870000001</v>
      </c>
      <c r="H617" s="104">
        <f>SUM(F458)</f>
        <v>22571264.870000001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663026.06000000006</v>
      </c>
      <c r="H618" s="104">
        <f>SUM(G458)</f>
        <v>663026.06000000006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662780.75</v>
      </c>
      <c r="H619" s="104">
        <f>SUM(H458)</f>
        <v>662780.75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3600000</v>
      </c>
      <c r="H620" s="104">
        <f>SUM(I458)</f>
        <v>3600000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121298.54</v>
      </c>
      <c r="H621" s="104">
        <f>SUM(J458)</f>
        <v>121298.54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22576022</v>
      </c>
      <c r="H622" s="104">
        <f>SUM(F462)</f>
        <v>22576022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662780.75</v>
      </c>
      <c r="H623" s="104">
        <f>SUM(H462)</f>
        <v>662780.75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319146.25</v>
      </c>
      <c r="H624" s="104">
        <f>I361</f>
        <v>319146.25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694821.02999999991</v>
      </c>
      <c r="H625" s="104">
        <f>SUM(G462)</f>
        <v>694821.03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1592019.95</v>
      </c>
      <c r="H626" s="104">
        <f>SUM(I462)</f>
        <v>1592019.95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121298.54000000001</v>
      </c>
      <c r="H627" s="164">
        <f>SUM(J458)</f>
        <v>121298.54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55680.38</v>
      </c>
      <c r="H628" s="164">
        <f>SUM(J462)</f>
        <v>55680.38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73246.490000000005</v>
      </c>
      <c r="H629" s="104">
        <f>SUM(F451)</f>
        <v>73246.490000000005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440610.39</v>
      </c>
      <c r="H630" s="104">
        <f>SUM(G451)</f>
        <v>440610.39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513856.88</v>
      </c>
      <c r="H632" s="104">
        <f>SUM(I451)</f>
        <v>513856.88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1298.54</v>
      </c>
      <c r="H634" s="104">
        <f>H400</f>
        <v>1298.54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120000</v>
      </c>
      <c r="H635" s="104">
        <f>G400</f>
        <v>120000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121298.54</v>
      </c>
      <c r="H636" s="104">
        <f>L400</f>
        <v>121298.54000000001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674307.37</v>
      </c>
      <c r="H637" s="104">
        <f>L200+L218+L236</f>
        <v>674307.37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356718.91000000003</v>
      </c>
      <c r="H638" s="104">
        <f>(J249+J330)-(J247+J328)</f>
        <v>356718.91000000003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430230.19</v>
      </c>
      <c r="H639" s="104">
        <f>H588</f>
        <v>430230.19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244077.18</v>
      </c>
      <c r="H641" s="104">
        <f>J588</f>
        <v>244077.18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120000</v>
      </c>
      <c r="H645" s="104">
        <f>K258+K339</f>
        <v>120000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11298867.960000001</v>
      </c>
      <c r="G650" s="19">
        <f>(L221+L301+L351)</f>
        <v>0</v>
      </c>
      <c r="H650" s="19">
        <f>(L239+L320+L352)</f>
        <v>11481412.880000003</v>
      </c>
      <c r="I650" s="19">
        <f>SUM(F650:H650)</f>
        <v>22780280.840000004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199913.48326218245</v>
      </c>
      <c r="G651" s="19">
        <f>(L351/IF(SUM(L350:L352)=0,1,SUM(L350:L352))*(SUM(G89:G102)))</f>
        <v>0</v>
      </c>
      <c r="H651" s="19">
        <f>(L352/IF(SUM(L350:L352)=0,1,SUM(L350:L352))*(SUM(G89:G102)))</f>
        <v>244338.70673781753</v>
      </c>
      <c r="I651" s="19">
        <f>SUM(F651:H651)</f>
        <v>444252.18999999994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431530.19</v>
      </c>
      <c r="G652" s="19">
        <f>(L218+L298)-(J218+J298)</f>
        <v>0</v>
      </c>
      <c r="H652" s="19">
        <f>(L236+L317)-(J236+J317)</f>
        <v>244077.18</v>
      </c>
      <c r="I652" s="19">
        <f>SUM(F652:H652)</f>
        <v>675607.37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626608.82999999996</v>
      </c>
      <c r="G653" s="200">
        <f>SUM(G565:G577)+SUM(I592:I594)+L602</f>
        <v>0</v>
      </c>
      <c r="H653" s="200">
        <f>SUM(H565:H577)+SUM(J592:J594)+L603</f>
        <v>1361729.28</v>
      </c>
      <c r="I653" s="19">
        <f>SUM(F653:H653)</f>
        <v>1988338.1099999999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10040815.456737818</v>
      </c>
      <c r="G654" s="19">
        <f>G650-SUM(G651:G653)</f>
        <v>0</v>
      </c>
      <c r="H654" s="19">
        <f>H650-SUM(H651:H653)</f>
        <v>9631267.7132621855</v>
      </c>
      <c r="I654" s="19">
        <f>I650-SUM(I651:I653)</f>
        <v>19672083.170000002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758.34</v>
      </c>
      <c r="G655" s="249"/>
      <c r="H655" s="249">
        <v>933.15</v>
      </c>
      <c r="I655" s="19">
        <f>SUM(F655:H655)</f>
        <v>1691.49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13240.52</v>
      </c>
      <c r="G657" s="19" t="e">
        <f>ROUND(G654/G655,2)</f>
        <v>#DIV/0!</v>
      </c>
      <c r="H657" s="19">
        <f>ROUND(H654/H655,2)</f>
        <v>10321.24</v>
      </c>
      <c r="I657" s="19">
        <f>ROUND(I654/I655,2)</f>
        <v>11630.03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-34.72</v>
      </c>
      <c r="I660" s="19">
        <f>SUM(F660:H660)</f>
        <v>-34.72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13240.52</v>
      </c>
      <c r="G662" s="19" t="e">
        <f>ROUND((G654+G659)/(G655+G660),2)</f>
        <v>#DIV/0!</v>
      </c>
      <c r="H662" s="19">
        <f>ROUND((H654+H659)/(H655+H660),2)</f>
        <v>10720.11</v>
      </c>
      <c r="I662" s="19">
        <f>ROUND((I654+I659)/(I655+I660),2)</f>
        <v>11873.76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F1E6-B3AD-4449-86FC-9B23F23EAD94}">
  <sheetPr>
    <tabColor indexed="20"/>
  </sheetPr>
  <dimension ref="A1:C52"/>
  <sheetViews>
    <sheetView workbookViewId="0">
      <selection activeCell="F42" sqref="F4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PEMBROKE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6142583.5800000001</v>
      </c>
      <c r="C9" s="230">
        <f>'DOE25'!G189+'DOE25'!G207+'DOE25'!G225+'DOE25'!G268+'DOE25'!G287+'DOE25'!G306</f>
        <v>2579395.77</v>
      </c>
    </row>
    <row r="10" spans="1:3" x14ac:dyDescent="0.2">
      <c r="A10" t="s">
        <v>813</v>
      </c>
      <c r="B10" s="241">
        <v>5746438.5599999996</v>
      </c>
      <c r="C10" s="241">
        <v>2413046.42</v>
      </c>
    </row>
    <row r="11" spans="1:3" x14ac:dyDescent="0.2">
      <c r="A11" t="s">
        <v>814</v>
      </c>
      <c r="B11" s="241">
        <v>95624.14</v>
      </c>
      <c r="C11" s="241">
        <v>40154.519999999997</v>
      </c>
    </row>
    <row r="12" spans="1:3" x14ac:dyDescent="0.2">
      <c r="A12" t="s">
        <v>815</v>
      </c>
      <c r="B12" s="241">
        <v>300520.88</v>
      </c>
      <c r="C12" s="241">
        <v>126194.83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6142583.5799999991</v>
      </c>
      <c r="C13" s="232">
        <f>SUM(C10:C12)</f>
        <v>2579395.77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2382235.2199999997</v>
      </c>
      <c r="C18" s="230">
        <f>'DOE25'!G190+'DOE25'!G208+'DOE25'!G226+'DOE25'!G269+'DOE25'!G288+'DOE25'!G307</f>
        <v>1032564.9199999999</v>
      </c>
    </row>
    <row r="19" spans="1:3" x14ac:dyDescent="0.2">
      <c r="A19" t="s">
        <v>813</v>
      </c>
      <c r="B19" s="241">
        <v>1077476.95</v>
      </c>
      <c r="C19" s="241">
        <v>467025.63</v>
      </c>
    </row>
    <row r="20" spans="1:3" x14ac:dyDescent="0.2">
      <c r="A20" t="s">
        <v>814</v>
      </c>
      <c r="B20" s="241">
        <v>1164348.44</v>
      </c>
      <c r="C20" s="241">
        <v>504679.53</v>
      </c>
    </row>
    <row r="21" spans="1:3" x14ac:dyDescent="0.2">
      <c r="A21" t="s">
        <v>815</v>
      </c>
      <c r="B21" s="241">
        <v>140409.82999999999</v>
      </c>
      <c r="C21" s="241">
        <v>60859.76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2382235.2199999997</v>
      </c>
      <c r="C22" s="232">
        <f>SUM(C19:C21)</f>
        <v>1032564.92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608179.13</v>
      </c>
      <c r="C27" s="235">
        <f>'DOE25'!G191+'DOE25'!G209+'DOE25'!G227+'DOE25'!G270+'DOE25'!G289+'DOE25'!G308</f>
        <v>241578.06</v>
      </c>
    </row>
    <row r="28" spans="1:3" x14ac:dyDescent="0.2">
      <c r="A28" t="s">
        <v>813</v>
      </c>
      <c r="B28" s="241">
        <v>503949.5</v>
      </c>
      <c r="C28" s="241">
        <v>200176.46</v>
      </c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>
        <v>104229.63</v>
      </c>
      <c r="C30" s="241">
        <v>41401.599999999999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608179.13</v>
      </c>
      <c r="C31" s="232">
        <f>SUM(C28:C30)</f>
        <v>241578.06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295569</v>
      </c>
      <c r="C36" s="236">
        <f>'DOE25'!G192+'DOE25'!G210+'DOE25'!G228+'DOE25'!G271+'DOE25'!G290+'DOE25'!G309</f>
        <v>120466.28</v>
      </c>
    </row>
    <row r="37" spans="1:3" x14ac:dyDescent="0.2">
      <c r="A37" t="s">
        <v>813</v>
      </c>
      <c r="B37" s="241">
        <v>229474</v>
      </c>
      <c r="C37" s="241">
        <v>93527.67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66095</v>
      </c>
      <c r="C39" s="241">
        <v>26938.61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295569</v>
      </c>
      <c r="C40" s="232">
        <f>SUM(C37:C39)</f>
        <v>120466.28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51ACA-7A9A-4A29-B5AE-A5175FDA2A1C}">
  <sheetPr>
    <tabColor indexed="11"/>
  </sheetPr>
  <dimension ref="A1:I51"/>
  <sheetViews>
    <sheetView topLeftCell="B1" workbookViewId="0">
      <pane ySplit="4" topLeftCell="A5" activePane="bottomLeft" state="frozen"/>
      <selection pane="bottomLeft" activeCell="F10" sqref="F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PEMBROKE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15289794.630000003</v>
      </c>
      <c r="D5" s="20">
        <f>SUM('DOE25'!L189:L192)+SUM('DOE25'!L207:L210)+SUM('DOE25'!L225:L228)-F5-G5</f>
        <v>15146805.880000003</v>
      </c>
      <c r="E5" s="244"/>
      <c r="F5" s="256">
        <f>SUM('DOE25'!J189:J192)+SUM('DOE25'!J207:J210)+SUM('DOE25'!J225:J228)</f>
        <v>115702.12000000001</v>
      </c>
      <c r="G5" s="53">
        <f>SUM('DOE25'!K189:K192)+SUM('DOE25'!K207:K210)+SUM('DOE25'!K225:K228)</f>
        <v>27286.63</v>
      </c>
      <c r="H5" s="260"/>
    </row>
    <row r="6" spans="1:9" x14ac:dyDescent="0.2">
      <c r="A6" s="32">
        <v>2100</v>
      </c>
      <c r="B6" t="s">
        <v>835</v>
      </c>
      <c r="C6" s="246">
        <f t="shared" si="0"/>
        <v>1593280.94</v>
      </c>
      <c r="D6" s="20">
        <f>'DOE25'!L194+'DOE25'!L212+'DOE25'!L230-F6-G6</f>
        <v>1593245.94</v>
      </c>
      <c r="E6" s="244"/>
      <c r="F6" s="256">
        <f>'DOE25'!J194+'DOE25'!J212+'DOE25'!J230</f>
        <v>0</v>
      </c>
      <c r="G6" s="53">
        <f>'DOE25'!K194+'DOE25'!K212+'DOE25'!K230</f>
        <v>35</v>
      </c>
      <c r="H6" s="260"/>
    </row>
    <row r="7" spans="1:9" x14ac:dyDescent="0.2">
      <c r="A7" s="32">
        <v>2200</v>
      </c>
      <c r="B7" t="s">
        <v>868</v>
      </c>
      <c r="C7" s="246">
        <f t="shared" si="0"/>
        <v>405737.25</v>
      </c>
      <c r="D7" s="20">
        <f>'DOE25'!L195+'DOE25'!L213+'DOE25'!L231-F7-G7</f>
        <v>404043.44</v>
      </c>
      <c r="E7" s="244"/>
      <c r="F7" s="256">
        <f>'DOE25'!J195+'DOE25'!J213+'DOE25'!J231</f>
        <v>1693.81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487454.29000000004</v>
      </c>
      <c r="D8" s="244"/>
      <c r="E8" s="20">
        <f>'DOE25'!L196+'DOE25'!L214+'DOE25'!L232-F8-G8-D9-D11</f>
        <v>478212.92000000004</v>
      </c>
      <c r="F8" s="256">
        <f>'DOE25'!J196+'DOE25'!J214+'DOE25'!J232</f>
        <v>0</v>
      </c>
      <c r="G8" s="53">
        <f>'DOE25'!K196+'DOE25'!K214+'DOE25'!K232</f>
        <v>9241.369999999999</v>
      </c>
      <c r="H8" s="260"/>
    </row>
    <row r="9" spans="1:9" x14ac:dyDescent="0.2">
      <c r="A9" s="32">
        <v>2310</v>
      </c>
      <c r="B9" t="s">
        <v>852</v>
      </c>
      <c r="C9" s="246">
        <f t="shared" si="0"/>
        <v>17340.64</v>
      </c>
      <c r="D9" s="245">
        <v>17340.64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7293</v>
      </c>
      <c r="D10" s="244"/>
      <c r="E10" s="245">
        <v>7293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60611.63</v>
      </c>
      <c r="D11" s="245">
        <v>60611.63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1402270.56</v>
      </c>
      <c r="D12" s="20">
        <f>'DOE25'!L197+'DOE25'!L215+'DOE25'!L233-F12-G12</f>
        <v>1373542.8599999999</v>
      </c>
      <c r="E12" s="244"/>
      <c r="F12" s="256">
        <f>'DOE25'!J197+'DOE25'!J215+'DOE25'!J233</f>
        <v>6369.59</v>
      </c>
      <c r="G12" s="53">
        <f>'DOE25'!K197+'DOE25'!K215+'DOE25'!K233</f>
        <v>22358.11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1491881.75</v>
      </c>
      <c r="D14" s="20">
        <f>'DOE25'!L199+'DOE25'!L217+'DOE25'!L235-F14-G14</f>
        <v>1485748.41</v>
      </c>
      <c r="E14" s="244"/>
      <c r="F14" s="256">
        <f>'DOE25'!J199+'DOE25'!J217+'DOE25'!J235</f>
        <v>6133.34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674307.37</v>
      </c>
      <c r="D15" s="20">
        <f>'DOE25'!L200+'DOE25'!L218+'DOE25'!L236-F15-G15</f>
        <v>674307.37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320073.81</v>
      </c>
      <c r="D22" s="244"/>
      <c r="E22" s="244"/>
      <c r="F22" s="256">
        <f>'DOE25'!L247+'DOE25'!L328</f>
        <v>320073.81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713269.13</v>
      </c>
      <c r="D25" s="244"/>
      <c r="E25" s="244"/>
      <c r="F25" s="259"/>
      <c r="G25" s="257"/>
      <c r="H25" s="258">
        <f>'DOE25'!L252+'DOE25'!L253+'DOE25'!L333+'DOE25'!L334</f>
        <v>713269.13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394338.79999999993</v>
      </c>
      <c r="D29" s="20">
        <f>'DOE25'!L350+'DOE25'!L351+'DOE25'!L352-'DOE25'!I359-F29-G29</f>
        <v>330246.00999999995</v>
      </c>
      <c r="E29" s="244"/>
      <c r="F29" s="256">
        <f>'DOE25'!J350+'DOE25'!J351+'DOE25'!J352</f>
        <v>63744.789999999994</v>
      </c>
      <c r="G29" s="53">
        <f>'DOE25'!K350+'DOE25'!K351+'DOE25'!K352</f>
        <v>348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662780.75</v>
      </c>
      <c r="D31" s="20">
        <f>'DOE25'!L282+'DOE25'!L301+'DOE25'!L320+'DOE25'!L325+'DOE25'!L326+'DOE25'!L327-F31-G31</f>
        <v>426323.43</v>
      </c>
      <c r="E31" s="244"/>
      <c r="F31" s="256">
        <f>'DOE25'!J282+'DOE25'!J301+'DOE25'!J320+'DOE25'!J325+'DOE25'!J326+'DOE25'!J327</f>
        <v>226820.05</v>
      </c>
      <c r="G31" s="53">
        <f>'DOE25'!K282+'DOE25'!K301+'DOE25'!K320+'DOE25'!K325+'DOE25'!K326+'DOE25'!K327</f>
        <v>9637.27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21512215.610000003</v>
      </c>
      <c r="E33" s="247">
        <f>SUM(E5:E31)</f>
        <v>485505.92000000004</v>
      </c>
      <c r="F33" s="247">
        <f>SUM(F5:F31)</f>
        <v>740537.51</v>
      </c>
      <c r="G33" s="247">
        <f>SUM(G5:G31)</f>
        <v>68906.38</v>
      </c>
      <c r="H33" s="247">
        <f>SUM(H5:H31)</f>
        <v>713269.13</v>
      </c>
    </row>
    <row r="35" spans="2:8" ht="12" thickBot="1" x14ac:dyDescent="0.25">
      <c r="B35" s="254" t="s">
        <v>881</v>
      </c>
      <c r="D35" s="255">
        <f>E33</f>
        <v>485505.92000000004</v>
      </c>
      <c r="E35" s="250"/>
    </row>
    <row r="36" spans="2:8" ht="12" thickTop="1" x14ac:dyDescent="0.2">
      <c r="B36" t="s">
        <v>849</v>
      </c>
      <c r="D36" s="20">
        <f>D33</f>
        <v>21512215.610000003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A02AA-26DD-414C-BA3E-787EC8989808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PEMBROKE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583928.93999999994</v>
      </c>
      <c r="D9" s="95">
        <f>'DOE25'!G9</f>
        <v>31709.84</v>
      </c>
      <c r="E9" s="95">
        <f>'DOE25'!H9</f>
        <v>0</v>
      </c>
      <c r="F9" s="95">
        <f>'DOE25'!I9</f>
        <v>2007980.05</v>
      </c>
      <c r="G9" s="95">
        <f>'DOE25'!J9</f>
        <v>513856.88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147266.99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170986.61</v>
      </c>
      <c r="D13" s="95">
        <f>'DOE25'!G13</f>
        <v>11484.59</v>
      </c>
      <c r="E13" s="95">
        <f>'DOE25'!H13</f>
        <v>120067.04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3999.29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4463.99</v>
      </c>
      <c r="D17" s="95">
        <f>'DOE25'!G17</f>
        <v>3351.12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759379.53999999992</v>
      </c>
      <c r="D19" s="41">
        <f>SUM(D9:D18)</f>
        <v>197811.83</v>
      </c>
      <c r="E19" s="41">
        <f>SUM(E9:E18)</f>
        <v>120067.04</v>
      </c>
      <c r="F19" s="41">
        <f>SUM(F9:F18)</f>
        <v>2007980.05</v>
      </c>
      <c r="G19" s="41">
        <f>SUM(G9:G18)</f>
        <v>513856.88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42169.36</v>
      </c>
      <c r="D22" s="95" t="str">
        <f>'DOE25'!G23</f>
        <v xml:space="preserve"> </v>
      </c>
      <c r="E22" s="95">
        <f>'DOE25'!H23</f>
        <v>105097.63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155207.39000000001</v>
      </c>
      <c r="D23" s="95">
        <f>'DOE25'!G24</f>
        <v>45191.09</v>
      </c>
      <c r="E23" s="95">
        <f>'DOE25'!H24</f>
        <v>7498.29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51391.29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237794.86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7471.12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486562.9</v>
      </c>
      <c r="D32" s="41">
        <f>SUM(D22:D31)</f>
        <v>45191.09</v>
      </c>
      <c r="E32" s="41">
        <f>SUM(E22:E31)</f>
        <v>120067.04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250000</v>
      </c>
      <c r="D40" s="95">
        <f>'DOE25'!G41</f>
        <v>152620.74</v>
      </c>
      <c r="E40" s="95">
        <f>'DOE25'!H41</f>
        <v>0</v>
      </c>
      <c r="F40" s="95">
        <f>'DOE25'!I41</f>
        <v>2007980.05</v>
      </c>
      <c r="G40" s="95">
        <f>'DOE25'!J41</f>
        <v>513856.88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22816.639999999999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272816.64000000001</v>
      </c>
      <c r="D42" s="41">
        <f>SUM(D34:D41)</f>
        <v>152620.74</v>
      </c>
      <c r="E42" s="41">
        <f>SUM(E34:E41)</f>
        <v>0</v>
      </c>
      <c r="F42" s="41">
        <f>SUM(F34:F41)</f>
        <v>2007980.05</v>
      </c>
      <c r="G42" s="41">
        <f>SUM(G34:G41)</f>
        <v>513856.88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759379.54</v>
      </c>
      <c r="D43" s="41">
        <f>D42+D32</f>
        <v>197811.83</v>
      </c>
      <c r="E43" s="41">
        <f>E42+E32</f>
        <v>120067.04</v>
      </c>
      <c r="F43" s="41">
        <f>F42+F32</f>
        <v>2007980.05</v>
      </c>
      <c r="G43" s="41">
        <f>G42+G32</f>
        <v>513856.88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8540932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5758698.6400000006</v>
      </c>
      <c r="D49" s="24" t="s">
        <v>312</v>
      </c>
      <c r="E49" s="95">
        <f>'DOE25'!H71</f>
        <v>10284.68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6032.84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2060.5100000000002</v>
      </c>
      <c r="D51" s="95">
        <f>'DOE25'!G88</f>
        <v>81.72</v>
      </c>
      <c r="E51" s="95">
        <f>'DOE25'!H88</f>
        <v>0</v>
      </c>
      <c r="F51" s="95">
        <f>'DOE25'!I88</f>
        <v>0</v>
      </c>
      <c r="G51" s="95">
        <f>'DOE25'!J88</f>
        <v>1298.54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443807.82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43458.91</v>
      </c>
      <c r="D53" s="95">
        <f>SUM('DOE25'!G90:G102)</f>
        <v>444.37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5810250.9000000004</v>
      </c>
      <c r="D54" s="130">
        <f>SUM(D49:D53)</f>
        <v>444333.91</v>
      </c>
      <c r="E54" s="130">
        <f>SUM(E49:E53)</f>
        <v>10284.68</v>
      </c>
      <c r="F54" s="130">
        <f>SUM(F49:F53)</f>
        <v>0</v>
      </c>
      <c r="G54" s="130">
        <f>SUM(G49:G53)</f>
        <v>1298.54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14351182.9</v>
      </c>
      <c r="D55" s="22">
        <f>D48+D54</f>
        <v>444333.91</v>
      </c>
      <c r="E55" s="22">
        <f>E48+E54</f>
        <v>10284.68</v>
      </c>
      <c r="F55" s="22">
        <f>F48+F54</f>
        <v>0</v>
      </c>
      <c r="G55" s="22">
        <f>G48+G54</f>
        <v>1298.54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3994013.45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1393997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1532379.55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6920390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358632.52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552501.5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9174.7199999999993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6455.9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920308.74</v>
      </c>
      <c r="D70" s="130">
        <f>SUM(D64:D69)</f>
        <v>6455.9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7840698.7400000002</v>
      </c>
      <c r="D73" s="130">
        <f>SUM(D71:D72)+D70+D62</f>
        <v>6455.9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323702.95</v>
      </c>
      <c r="D80" s="95">
        <f>SUM('DOE25'!G145:G153)</f>
        <v>212236.25</v>
      </c>
      <c r="E80" s="95">
        <f>SUM('DOE25'!H145:H153)</f>
        <v>652496.06999999995</v>
      </c>
      <c r="F80" s="95">
        <f>SUM('DOE25'!I145:I153)</f>
        <v>3600000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323702.95</v>
      </c>
      <c r="D83" s="131">
        <f>SUM(D77:D82)</f>
        <v>212236.25</v>
      </c>
      <c r="E83" s="131">
        <f>SUM(E77:E82)</f>
        <v>652496.06999999995</v>
      </c>
      <c r="F83" s="131">
        <f>SUM(F77:F82)</f>
        <v>3600000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120000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40247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15433.28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55680.28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120000</v>
      </c>
    </row>
    <row r="96" spans="1:7" ht="12.75" thickTop="1" thickBot="1" x14ac:dyDescent="0.25">
      <c r="A96" s="33" t="s">
        <v>797</v>
      </c>
      <c r="C96" s="86">
        <f>C55+C73+C83+C95</f>
        <v>22571264.870000001</v>
      </c>
      <c r="D96" s="86">
        <f>D55+D73+D83+D95</f>
        <v>663026.06000000006</v>
      </c>
      <c r="E96" s="86">
        <f>E55+E73+E83+E95</f>
        <v>662780.75</v>
      </c>
      <c r="F96" s="86">
        <f>F55+F73+F83+F95</f>
        <v>3600000</v>
      </c>
      <c r="G96" s="86">
        <f>G55+G73+G95</f>
        <v>121298.54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8825978.4500000011</v>
      </c>
      <c r="D101" s="24" t="s">
        <v>312</v>
      </c>
      <c r="E101" s="95">
        <f>('DOE25'!L268)+('DOE25'!L287)+('DOE25'!L306)</f>
        <v>361722.91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4976245.1899999995</v>
      </c>
      <c r="D102" s="24" t="s">
        <v>312</v>
      </c>
      <c r="E102" s="95">
        <f>('DOE25'!L269)+('DOE25'!L288)+('DOE25'!L307)</f>
        <v>233001.28999999998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981030.73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506540.26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15289794.630000001</v>
      </c>
      <c r="D107" s="86">
        <f>SUM(D101:D106)</f>
        <v>0</v>
      </c>
      <c r="E107" s="86">
        <f>SUM(E101:E106)</f>
        <v>594724.19999999995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1593280.94</v>
      </c>
      <c r="D110" s="24" t="s">
        <v>312</v>
      </c>
      <c r="E110" s="95">
        <f>+('DOE25'!L273)+('DOE25'!L292)+('DOE25'!L311)</f>
        <v>31731.83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405737.25</v>
      </c>
      <c r="D111" s="24" t="s">
        <v>312</v>
      </c>
      <c r="E111" s="95">
        <f>+('DOE25'!L274)+('DOE25'!L293)+('DOE25'!L312)</f>
        <v>9101.31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565406.56000000006</v>
      </c>
      <c r="D112" s="24" t="s">
        <v>312</v>
      </c>
      <c r="E112" s="95">
        <f>+('DOE25'!L275)+('DOE25'!L294)+('DOE25'!L313)</f>
        <v>7671.27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1402270.56</v>
      </c>
      <c r="D113" s="24" t="s">
        <v>312</v>
      </c>
      <c r="E113" s="95">
        <f>+('DOE25'!L276)+('DOE25'!L295)+('DOE25'!L314)</f>
        <v>18252.14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1491881.75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674307.37</v>
      </c>
      <c r="D116" s="24" t="s">
        <v>312</v>
      </c>
      <c r="E116" s="95">
        <f>+('DOE25'!L279)+('DOE25'!L298)+('DOE25'!L317)</f>
        <v>1300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694821.02999999991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6132884.4300000006</v>
      </c>
      <c r="D120" s="86">
        <f>SUM(D110:D119)</f>
        <v>694821.02999999991</v>
      </c>
      <c r="E120" s="86">
        <f>SUM(E110:E119)</f>
        <v>68056.55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320073.81</v>
      </c>
      <c r="D122" s="24" t="s">
        <v>312</v>
      </c>
      <c r="E122" s="129">
        <f>'DOE25'!L328</f>
        <v>0</v>
      </c>
      <c r="F122" s="129">
        <f>SUM('DOE25'!L366:'DOE25'!L372)</f>
        <v>1592019.95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575000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138269.13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55680.38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50203.12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71095.42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-1298.5400000000081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1153342.94</v>
      </c>
      <c r="D136" s="141">
        <f>SUM(D122:D135)</f>
        <v>0</v>
      </c>
      <c r="E136" s="141">
        <f>SUM(E122:E135)</f>
        <v>0</v>
      </c>
      <c r="F136" s="141">
        <f>SUM(F122:F135)</f>
        <v>1592019.95</v>
      </c>
      <c r="G136" s="141">
        <f>SUM(G122:G135)</f>
        <v>55680.38</v>
      </c>
    </row>
    <row r="137" spans="1:9" ht="12.75" thickTop="1" thickBot="1" x14ac:dyDescent="0.25">
      <c r="A137" s="33" t="s">
        <v>267</v>
      </c>
      <c r="C137" s="86">
        <f>(C107+C120+C136)</f>
        <v>22576022.000000004</v>
      </c>
      <c r="D137" s="86">
        <f>(D107+D120+D136)</f>
        <v>694821.02999999991</v>
      </c>
      <c r="E137" s="86">
        <f>(E107+E120+E136)</f>
        <v>662780.75</v>
      </c>
      <c r="F137" s="86">
        <f>(F107+F120+F136)</f>
        <v>1592019.95</v>
      </c>
      <c r="G137" s="86">
        <f>(G107+G120+G136)</f>
        <v>55680.38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15</v>
      </c>
      <c r="D143" s="153">
        <f>'DOE25'!H480</f>
        <v>15</v>
      </c>
      <c r="E143" s="153">
        <f>'DOE25'!I480</f>
        <v>15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09/99</v>
      </c>
      <c r="C144" s="152" t="str">
        <f>'DOE25'!G481</f>
        <v>08/07</v>
      </c>
      <c r="D144" s="152" t="str">
        <f>'DOE25'!H481</f>
        <v>08/07</v>
      </c>
      <c r="E144" s="152" t="str">
        <f>'DOE25'!I481</f>
        <v>01/10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09/15</v>
      </c>
      <c r="C145" s="152" t="str">
        <f>'DOE25'!G482</f>
        <v>11/22</v>
      </c>
      <c r="D145" s="152" t="str">
        <f>'DOE25'!H482</f>
        <v>11/23</v>
      </c>
      <c r="E145" s="152" t="str">
        <f>'DOE25'!I482</f>
        <v>07/25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8445000</v>
      </c>
      <c r="C146" s="137">
        <f>'DOE25'!G483</f>
        <v>360109</v>
      </c>
      <c r="D146" s="137">
        <f>'DOE25'!H483</f>
        <v>2459891</v>
      </c>
      <c r="E146" s="137">
        <f>'DOE25'!I483</f>
        <v>3600000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4.25</v>
      </c>
      <c r="C147" s="137">
        <f>'DOE25'!G484</f>
        <v>4.68</v>
      </c>
      <c r="D147" s="137">
        <f>'DOE25'!H484</f>
        <v>4.3</v>
      </c>
      <c r="E147" s="137">
        <f>'DOE25'!I484</f>
        <v>1.65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3270000</v>
      </c>
      <c r="C148" s="137">
        <f>'DOE25'!G485</f>
        <v>343014.74</v>
      </c>
      <c r="D148" s="137">
        <f>'DOE25'!H485</f>
        <v>2459891</v>
      </c>
      <c r="E148" s="137">
        <f>'DOE25'!I485</f>
        <v>0</v>
      </c>
      <c r="F148" s="137">
        <f>'DOE25'!J485</f>
        <v>0</v>
      </c>
      <c r="G148" s="138">
        <f>SUM(B148:F148)</f>
        <v>6072905.7400000002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575000</v>
      </c>
      <c r="C150" s="137">
        <f>'DOE25'!G487</f>
        <v>17894.27</v>
      </c>
      <c r="D150" s="137">
        <f>'DOE25'!H487</f>
        <v>120136.11</v>
      </c>
      <c r="E150" s="137">
        <f>'DOE25'!I487</f>
        <v>0</v>
      </c>
      <c r="F150" s="137">
        <f>'DOE25'!J487</f>
        <v>0</v>
      </c>
      <c r="G150" s="138">
        <f t="shared" si="0"/>
        <v>713030.38</v>
      </c>
    </row>
    <row r="151" spans="1:7" x14ac:dyDescent="0.2">
      <c r="A151" s="22" t="s">
        <v>35</v>
      </c>
      <c r="B151" s="137">
        <f>'DOE25'!F488</f>
        <v>2695000</v>
      </c>
      <c r="C151" s="137">
        <f>'DOE25'!G488</f>
        <v>325120.46999999997</v>
      </c>
      <c r="D151" s="137">
        <f>'DOE25'!H488</f>
        <v>2339754.89</v>
      </c>
      <c r="E151" s="137">
        <f>'DOE25'!I488</f>
        <v>3600000</v>
      </c>
      <c r="F151" s="137">
        <f>'DOE25'!J488</f>
        <v>0</v>
      </c>
      <c r="G151" s="138">
        <f t="shared" si="0"/>
        <v>8959875.3599999994</v>
      </c>
    </row>
    <row r="152" spans="1:7" x14ac:dyDescent="0.2">
      <c r="A152" s="22" t="s">
        <v>36</v>
      </c>
      <c r="B152" s="137">
        <f>'DOE25'!F489</f>
        <v>328608.15000000002</v>
      </c>
      <c r="C152" s="137">
        <f>'DOE25'!G489</f>
        <v>116195.23</v>
      </c>
      <c r="D152" s="137">
        <f>'DOE25'!H489</f>
        <v>823005.03</v>
      </c>
      <c r="E152" s="137">
        <f>'DOE25'!I489</f>
        <v>502590</v>
      </c>
      <c r="F152" s="137">
        <f>'DOE25'!J489</f>
        <v>0</v>
      </c>
      <c r="G152" s="138">
        <f t="shared" si="0"/>
        <v>1770398.4100000001</v>
      </c>
    </row>
    <row r="153" spans="1:7" x14ac:dyDescent="0.2">
      <c r="A153" s="22" t="s">
        <v>37</v>
      </c>
      <c r="B153" s="137">
        <f>'DOE25'!F490</f>
        <v>3023608.15</v>
      </c>
      <c r="C153" s="137">
        <f>'DOE25'!G490</f>
        <v>441315.69999999995</v>
      </c>
      <c r="D153" s="137">
        <f>'DOE25'!H490</f>
        <v>3162759.92</v>
      </c>
      <c r="E153" s="137">
        <f>'DOE25'!I490</f>
        <v>4102590</v>
      </c>
      <c r="F153" s="137">
        <f>'DOE25'!J490</f>
        <v>0</v>
      </c>
      <c r="G153" s="138">
        <f t="shared" si="0"/>
        <v>10730273.77</v>
      </c>
    </row>
    <row r="154" spans="1:7" x14ac:dyDescent="0.2">
      <c r="A154" s="22" t="s">
        <v>38</v>
      </c>
      <c r="B154" s="137">
        <f>'DOE25'!F491</f>
        <v>575000</v>
      </c>
      <c r="C154" s="137">
        <f>'DOE25'!G491</f>
        <v>18731.72</v>
      </c>
      <c r="D154" s="137">
        <f>'DOE25'!H491</f>
        <v>125301.96</v>
      </c>
      <c r="E154" s="137" t="str">
        <f>'DOE25'!I491</f>
        <v xml:space="preserve"> </v>
      </c>
      <c r="F154" s="137">
        <f>'DOE25'!J491</f>
        <v>0</v>
      </c>
      <c r="G154" s="138">
        <f t="shared" si="0"/>
        <v>719033.67999999993</v>
      </c>
    </row>
    <row r="155" spans="1:7" x14ac:dyDescent="0.2">
      <c r="A155" s="22" t="s">
        <v>39</v>
      </c>
      <c r="B155" s="137">
        <f>'DOE25'!F492</f>
        <v>113831.63</v>
      </c>
      <c r="C155" s="137">
        <f>'DOE25'!G492</f>
        <v>15215.64</v>
      </c>
      <c r="D155" s="137">
        <f>'DOE25'!H492</f>
        <v>100609.46</v>
      </c>
      <c r="E155" s="137">
        <f>'DOE25'!I492</f>
        <v>0</v>
      </c>
      <c r="F155" s="137">
        <f>'DOE25'!J492</f>
        <v>0</v>
      </c>
      <c r="G155" s="138">
        <f t="shared" si="0"/>
        <v>229656.73</v>
      </c>
    </row>
    <row r="156" spans="1:7" x14ac:dyDescent="0.2">
      <c r="A156" s="22" t="s">
        <v>269</v>
      </c>
      <c r="B156" s="137">
        <f>'DOE25'!F493</f>
        <v>688831.63</v>
      </c>
      <c r="C156" s="137">
        <f>'DOE25'!G493</f>
        <v>33947.360000000001</v>
      </c>
      <c r="D156" s="137">
        <f>'DOE25'!H493</f>
        <v>225911.42</v>
      </c>
      <c r="E156" s="137">
        <f>'DOE25'!I493</f>
        <v>0</v>
      </c>
      <c r="F156" s="137">
        <f>'DOE25'!J493</f>
        <v>0</v>
      </c>
      <c r="G156" s="138">
        <f t="shared" si="0"/>
        <v>948690.41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FA3AA-5929-41DD-B936-9D5180BAC8E4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PEMBROKE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13241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10720</v>
      </c>
    </row>
    <row r="7" spans="1:4" x14ac:dyDescent="0.2">
      <c r="B7" t="s">
        <v>736</v>
      </c>
      <c r="C7" s="179">
        <f>IF('DOE25'!I655+'DOE25'!I660=0,0,ROUND('DOE25'!I662,0))</f>
        <v>11874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9187701</v>
      </c>
      <c r="D10" s="182">
        <f>ROUND((C10/$C$28)*100,1)</f>
        <v>40.9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5209246</v>
      </c>
      <c r="D11" s="182">
        <f>ROUND((C11/$C$28)*100,1)</f>
        <v>23.2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981031</v>
      </c>
      <c r="D12" s="182">
        <f>ROUND((C12/$C$28)*100,1)</f>
        <v>4.4000000000000004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506540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1625013</v>
      </c>
      <c r="D15" s="182">
        <f t="shared" ref="D15:D27" si="0">ROUND((C15/$C$28)*100,1)</f>
        <v>7.2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414839</v>
      </c>
      <c r="D16" s="182">
        <f t="shared" si="0"/>
        <v>1.8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573078</v>
      </c>
      <c r="D17" s="182">
        <f t="shared" si="0"/>
        <v>2.5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1420523</v>
      </c>
      <c r="D18" s="182">
        <f t="shared" si="0"/>
        <v>6.3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1491882</v>
      </c>
      <c r="D20" s="182">
        <f t="shared" si="0"/>
        <v>6.6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675607</v>
      </c>
      <c r="D21" s="182">
        <f t="shared" si="0"/>
        <v>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138269</v>
      </c>
      <c r="D25" s="182">
        <f t="shared" si="0"/>
        <v>0.6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250568.81</v>
      </c>
      <c r="D27" s="182">
        <f t="shared" si="0"/>
        <v>1.1000000000000001</v>
      </c>
    </row>
    <row r="28" spans="1:4" x14ac:dyDescent="0.2">
      <c r="B28" s="187" t="s">
        <v>754</v>
      </c>
      <c r="C28" s="180">
        <f>SUM(C10:C27)</f>
        <v>22474297.809999999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1912094</v>
      </c>
    </row>
    <row r="30" spans="1:4" x14ac:dyDescent="0.2">
      <c r="B30" s="187" t="s">
        <v>760</v>
      </c>
      <c r="C30" s="180">
        <f>SUM(C28:C29)</f>
        <v>24386391.809999999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575000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8540932</v>
      </c>
      <c r="D35" s="182">
        <f t="shared" ref="D35:D40" si="1">ROUND((C35/$C$41)*100,1)</f>
        <v>31.6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5821915.8399999999</v>
      </c>
      <c r="D36" s="182">
        <f t="shared" si="1"/>
        <v>21.6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5388010</v>
      </c>
      <c r="D37" s="182">
        <f t="shared" si="1"/>
        <v>20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2459144</v>
      </c>
      <c r="D38" s="182">
        <f t="shared" si="1"/>
        <v>9.1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4788435</v>
      </c>
      <c r="D39" s="182">
        <f t="shared" si="1"/>
        <v>17.7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26998436.84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B89E-8F0C-411F-85C6-9843D7815F5E}">
  <sheetPr>
    <tabColor indexed="17"/>
  </sheetPr>
  <dimension ref="A1:IV90"/>
  <sheetViews>
    <sheetView workbookViewId="0">
      <pane ySplit="3" topLeftCell="A4" activePane="bottomLeft" state="frozen"/>
      <selection pane="bottomLeft" activeCell="C25" sqref="C25:M2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PEMBROKE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23</v>
      </c>
      <c r="B4" s="220">
        <v>5</v>
      </c>
      <c r="C4" s="280" t="s">
        <v>894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20</v>
      </c>
      <c r="B5" s="220">
        <v>12</v>
      </c>
      <c r="C5" s="280" t="s">
        <v>902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20</v>
      </c>
      <c r="B6" s="220">
        <v>13</v>
      </c>
      <c r="C6" s="280" t="s">
        <v>902</v>
      </c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>
        <v>20</v>
      </c>
      <c r="B7" s="220"/>
      <c r="C7" s="280" t="s">
        <v>903</v>
      </c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 t="s">
        <v>904</v>
      </c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>
        <v>20</v>
      </c>
      <c r="B9" s="220"/>
      <c r="C9" s="280" t="s">
        <v>905</v>
      </c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2010-08-30T16:13:57Z</cp:lastPrinted>
  <dcterms:created xsi:type="dcterms:W3CDTF">1997-12-04T19:04:30Z</dcterms:created>
  <dcterms:modified xsi:type="dcterms:W3CDTF">2025-01-09T20:06:57Z</dcterms:modified>
</cp:coreProperties>
</file>