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B1366848-CA60-4AB7-A3FC-F50592E4F1FC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D88D2BE6-4854-4D28-8F04-392C362EF41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89" i="1"/>
  <c r="L190" i="1"/>
  <c r="L203" i="1" s="1"/>
  <c r="L191" i="1"/>
  <c r="C103" i="2" s="1"/>
  <c r="L192" i="1"/>
  <c r="L207" i="1"/>
  <c r="C101" i="2" s="1"/>
  <c r="L208" i="1"/>
  <c r="L209" i="1"/>
  <c r="L210" i="1"/>
  <c r="L225" i="1"/>
  <c r="L239" i="1" s="1"/>
  <c r="H650" i="1" s="1"/>
  <c r="L226" i="1"/>
  <c r="C11" i="10" s="1"/>
  <c r="L227" i="1"/>
  <c r="C12" i="10" s="1"/>
  <c r="L228" i="1"/>
  <c r="F6" i="13"/>
  <c r="G6" i="13"/>
  <c r="L194" i="1"/>
  <c r="C110" i="2" s="1"/>
  <c r="L212" i="1"/>
  <c r="L230" i="1"/>
  <c r="F7" i="13"/>
  <c r="G7" i="13"/>
  <c r="L195" i="1"/>
  <c r="D7" i="13" s="1"/>
  <c r="C7" i="13" s="1"/>
  <c r="L213" i="1"/>
  <c r="L221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115" i="2" s="1"/>
  <c r="L235" i="1"/>
  <c r="F15" i="13"/>
  <c r="G15" i="13"/>
  <c r="L200" i="1"/>
  <c r="C21" i="10" s="1"/>
  <c r="L218" i="1"/>
  <c r="G640" i="1" s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E101" i="2" s="1"/>
  <c r="L269" i="1"/>
  <c r="L270" i="1"/>
  <c r="L271" i="1"/>
  <c r="L273" i="1"/>
  <c r="L274" i="1"/>
  <c r="L275" i="1"/>
  <c r="E112" i="2" s="1"/>
  <c r="L276" i="1"/>
  <c r="L277" i="1"/>
  <c r="L278" i="1"/>
  <c r="L279" i="1"/>
  <c r="E116" i="2" s="1"/>
  <c r="L280" i="1"/>
  <c r="E117" i="2" s="1"/>
  <c r="L282" i="1"/>
  <c r="L287" i="1"/>
  <c r="L288" i="1"/>
  <c r="L289" i="1"/>
  <c r="L301" i="1" s="1"/>
  <c r="L330" i="1" s="1"/>
  <c r="L290" i="1"/>
  <c r="L292" i="1"/>
  <c r="L293" i="1"/>
  <c r="L294" i="1"/>
  <c r="L295" i="1"/>
  <c r="L296" i="1"/>
  <c r="L297" i="1"/>
  <c r="E115" i="2" s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E106" i="2" s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E122" i="2" s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F104" i="1" s="1"/>
  <c r="G52" i="1"/>
  <c r="D48" i="2" s="1"/>
  <c r="D55" i="2" s="1"/>
  <c r="H52" i="1"/>
  <c r="I52" i="1"/>
  <c r="F71" i="1"/>
  <c r="C49" i="2" s="1"/>
  <c r="F86" i="1"/>
  <c r="C50" i="2" s="1"/>
  <c r="F103" i="1"/>
  <c r="G103" i="1"/>
  <c r="G104" i="1"/>
  <c r="H71" i="1"/>
  <c r="H104" i="1" s="1"/>
  <c r="H86" i="1"/>
  <c r="E50" i="2" s="1"/>
  <c r="H103" i="1"/>
  <c r="I103" i="1"/>
  <c r="I104" i="1" s="1"/>
  <c r="J103" i="1"/>
  <c r="J104" i="1"/>
  <c r="C37" i="10"/>
  <c r="F113" i="1"/>
  <c r="F128" i="1"/>
  <c r="F132" i="1"/>
  <c r="C38" i="10" s="1"/>
  <c r="G113" i="1"/>
  <c r="G132" i="1" s="1"/>
  <c r="G185" i="1" s="1"/>
  <c r="G618" i="1" s="1"/>
  <c r="J618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 s="1"/>
  <c r="C13" i="10"/>
  <c r="C18" i="10"/>
  <c r="L242" i="1"/>
  <c r="L324" i="1"/>
  <c r="C23" i="10"/>
  <c r="L246" i="1"/>
  <c r="L260" i="1"/>
  <c r="L261" i="1"/>
  <c r="L341" i="1"/>
  <c r="E134" i="2" s="1"/>
  <c r="L342" i="1"/>
  <c r="E135" i="2" s="1"/>
  <c r="C26" i="10"/>
  <c r="I655" i="1"/>
  <c r="I660" i="1"/>
  <c r="I659" i="1"/>
  <c r="C5" i="10"/>
  <c r="C4" i="10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L512" i="1"/>
  <c r="L514" i="1" s="1"/>
  <c r="L535" i="1" s="1"/>
  <c r="L513" i="1"/>
  <c r="F541" i="1" s="1"/>
  <c r="K541" i="1" s="1"/>
  <c r="L516" i="1"/>
  <c r="G539" i="1"/>
  <c r="G542" i="1" s="1"/>
  <c r="L517" i="1"/>
  <c r="L519" i="1" s="1"/>
  <c r="G540" i="1"/>
  <c r="L518" i="1"/>
  <c r="G541" i="1" s="1"/>
  <c r="L521" i="1"/>
  <c r="H539" i="1" s="1"/>
  <c r="H542" i="1" s="1"/>
  <c r="L522" i="1"/>
  <c r="H540" i="1" s="1"/>
  <c r="L523" i="1"/>
  <c r="H541" i="1" s="1"/>
  <c r="L526" i="1"/>
  <c r="I539" i="1"/>
  <c r="L527" i="1"/>
  <c r="I540" i="1" s="1"/>
  <c r="L528" i="1"/>
  <c r="I541" i="1" s="1"/>
  <c r="L531" i="1"/>
  <c r="J539" i="1" s="1"/>
  <c r="L532" i="1"/>
  <c r="J540" i="1" s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E9" i="2"/>
  <c r="F9" i="2"/>
  <c r="I431" i="1"/>
  <c r="J9" i="1"/>
  <c r="G9" i="2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E23" i="2"/>
  <c r="E32" i="2" s="1"/>
  <c r="F23" i="2"/>
  <c r="F32" i="2" s="1"/>
  <c r="I441" i="1"/>
  <c r="J24" i="1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C43" i="2" s="1"/>
  <c r="D34" i="2"/>
  <c r="D42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/>
  <c r="G36" i="2"/>
  <c r="G42" i="2" s="1"/>
  <c r="C37" i="2"/>
  <c r="D37" i="2"/>
  <c r="E37" i="2"/>
  <c r="F37" i="2"/>
  <c r="F42" i="2" s="1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E48" i="2"/>
  <c r="F48" i="2"/>
  <c r="E49" i="2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G73" i="2" s="1"/>
  <c r="C64" i="2"/>
  <c r="F64" i="2"/>
  <c r="C65" i="2"/>
  <c r="F65" i="2"/>
  <c r="F70" i="2" s="1"/>
  <c r="F73" i="2" s="1"/>
  <c r="C66" i="2"/>
  <c r="C67" i="2"/>
  <c r="C68" i="2"/>
  <c r="E68" i="2"/>
  <c r="F68" i="2"/>
  <c r="C69" i="2"/>
  <c r="C70" i="2" s="1"/>
  <c r="C73" i="2" s="1"/>
  <c r="D69" i="2"/>
  <c r="D70" i="2" s="1"/>
  <c r="E69" i="2"/>
  <c r="E70" i="2" s="1"/>
  <c r="E73" i="2" s="1"/>
  <c r="F69" i="2"/>
  <c r="G69" i="2"/>
  <c r="G70" i="2"/>
  <c r="C71" i="2"/>
  <c r="D71" i="2"/>
  <c r="E71" i="2"/>
  <c r="C72" i="2"/>
  <c r="E72" i="2"/>
  <c r="C77" i="2"/>
  <c r="D77" i="2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G95" i="2"/>
  <c r="E102" i="2"/>
  <c r="C104" i="2"/>
  <c r="E104" i="2"/>
  <c r="C105" i="2"/>
  <c r="E105" i="2"/>
  <c r="D107" i="2"/>
  <c r="F107" i="2"/>
  <c r="F137" i="2" s="1"/>
  <c r="G107" i="2"/>
  <c r="E110" i="2"/>
  <c r="E120" i="2" s="1"/>
  <c r="E111" i="2"/>
  <c r="C112" i="2"/>
  <c r="E113" i="2"/>
  <c r="E114" i="2"/>
  <c r="C117" i="2"/>
  <c r="F120" i="2"/>
  <c r="G120" i="2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153" i="2" s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493" i="1"/>
  <c r="C156" i="2" s="1"/>
  <c r="H493" i="1"/>
  <c r="D156" i="2"/>
  <c r="I493" i="1"/>
  <c r="E156" i="2"/>
  <c r="J493" i="1"/>
  <c r="K493" i="1" s="1"/>
  <c r="F156" i="2"/>
  <c r="F19" i="1"/>
  <c r="G19" i="1"/>
  <c r="G608" i="1" s="1"/>
  <c r="H19" i="1"/>
  <c r="I19" i="1"/>
  <c r="G610" i="1" s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G44" i="1"/>
  <c r="H608" i="1" s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G203" i="1"/>
  <c r="G249" i="1" s="1"/>
  <c r="G263" i="1" s="1"/>
  <c r="H203" i="1"/>
  <c r="I203" i="1"/>
  <c r="J203" i="1"/>
  <c r="K203" i="1"/>
  <c r="K249" i="1" s="1"/>
  <c r="K263" i="1" s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F426" i="1" s="1"/>
  <c r="G425" i="1"/>
  <c r="H425" i="1"/>
  <c r="I425" i="1"/>
  <c r="J425" i="1"/>
  <c r="J426" i="1"/>
  <c r="F438" i="1"/>
  <c r="G629" i="1" s="1"/>
  <c r="J629" i="1" s="1"/>
  <c r="G438" i="1"/>
  <c r="G630" i="1" s="1"/>
  <c r="J630" i="1" s="1"/>
  <c r="H438" i="1"/>
  <c r="F444" i="1"/>
  <c r="G444" i="1"/>
  <c r="G451" i="1" s="1"/>
  <c r="H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H460" i="1"/>
  <c r="I460" i="1"/>
  <c r="J460" i="1"/>
  <c r="F464" i="1"/>
  <c r="G464" i="1"/>
  <c r="G466" i="1" s="1"/>
  <c r="H613" i="1" s="1"/>
  <c r="H464" i="1"/>
  <c r="H466" i="1" s="1"/>
  <c r="H614" i="1" s="1"/>
  <c r="J614" i="1" s="1"/>
  <c r="I464" i="1"/>
  <c r="I466" i="1" s="1"/>
  <c r="H615" i="1" s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J535" i="1" s="1"/>
  <c r="K514" i="1"/>
  <c r="F519" i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9" i="1"/>
  <c r="J609" i="1" s="1"/>
  <c r="G613" i="1"/>
  <c r="J613" i="1" s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1" i="1"/>
  <c r="J631" i="1" s="1"/>
  <c r="G633" i="1"/>
  <c r="J633" i="1" s="1"/>
  <c r="G634" i="1"/>
  <c r="H634" i="1"/>
  <c r="J634" i="1" s="1"/>
  <c r="G635" i="1"/>
  <c r="J635" i="1" s="1"/>
  <c r="H637" i="1"/>
  <c r="G639" i="1"/>
  <c r="G641" i="1"/>
  <c r="J641" i="1" s="1"/>
  <c r="H641" i="1"/>
  <c r="G642" i="1"/>
  <c r="H642" i="1"/>
  <c r="J642" i="1" s="1"/>
  <c r="G643" i="1"/>
  <c r="J643" i="1" s="1"/>
  <c r="H643" i="1"/>
  <c r="G644" i="1"/>
  <c r="H644" i="1"/>
  <c r="J644" i="1"/>
  <c r="G645" i="1"/>
  <c r="J645" i="1" s="1"/>
  <c r="H645" i="1"/>
  <c r="C133" i="2" l="1"/>
  <c r="E54" i="2"/>
  <c r="E55" i="2" s="1"/>
  <c r="J43" i="1"/>
  <c r="D43" i="2"/>
  <c r="J542" i="1"/>
  <c r="I185" i="1"/>
  <c r="G620" i="1" s="1"/>
  <c r="J620" i="1" s="1"/>
  <c r="F185" i="1"/>
  <c r="G617" i="1" s="1"/>
  <c r="J617" i="1" s="1"/>
  <c r="J624" i="1"/>
  <c r="D31" i="13"/>
  <c r="C31" i="13" s="1"/>
  <c r="L249" i="1"/>
  <c r="L263" i="1" s="1"/>
  <c r="G622" i="1" s="1"/>
  <c r="J622" i="1" s="1"/>
  <c r="F650" i="1"/>
  <c r="J639" i="1"/>
  <c r="G156" i="2"/>
  <c r="I542" i="1"/>
  <c r="K539" i="1"/>
  <c r="K542" i="1" s="1"/>
  <c r="H185" i="1"/>
  <c r="G619" i="1" s="1"/>
  <c r="J619" i="1" s="1"/>
  <c r="J640" i="1"/>
  <c r="J610" i="1"/>
  <c r="C5" i="13"/>
  <c r="G19" i="2"/>
  <c r="L400" i="1"/>
  <c r="C130" i="2"/>
  <c r="E136" i="2"/>
  <c r="J608" i="1"/>
  <c r="D73" i="2"/>
  <c r="D96" i="2" s="1"/>
  <c r="J19" i="1"/>
  <c r="G611" i="1" s="1"/>
  <c r="G650" i="1"/>
  <c r="G654" i="1" s="1"/>
  <c r="E33" i="13"/>
  <c r="D35" i="13" s="1"/>
  <c r="C8" i="13"/>
  <c r="F43" i="2"/>
  <c r="F96" i="2"/>
  <c r="C54" i="2"/>
  <c r="C55" i="2" s="1"/>
  <c r="C96" i="2" s="1"/>
  <c r="C39" i="10"/>
  <c r="J615" i="1"/>
  <c r="L426" i="1"/>
  <c r="G628" i="1" s="1"/>
  <c r="J628" i="1" s="1"/>
  <c r="G137" i="2"/>
  <c r="G23" i="2"/>
  <c r="G32" i="2" s="1"/>
  <c r="G43" i="2" s="1"/>
  <c r="J33" i="1"/>
  <c r="J185" i="1"/>
  <c r="G55" i="2"/>
  <c r="G96" i="2" s="1"/>
  <c r="H33" i="13"/>
  <c r="C25" i="13"/>
  <c r="I450" i="1"/>
  <c r="C102" i="2"/>
  <c r="C107" i="2" s="1"/>
  <c r="C114" i="2"/>
  <c r="G652" i="1"/>
  <c r="C17" i="10"/>
  <c r="C35" i="10"/>
  <c r="C20" i="10"/>
  <c r="C19" i="10"/>
  <c r="G612" i="1"/>
  <c r="J612" i="1" s="1"/>
  <c r="J263" i="1"/>
  <c r="C113" i="2"/>
  <c r="E77" i="2"/>
  <c r="E83" i="2" s="1"/>
  <c r="F542" i="1"/>
  <c r="L343" i="1"/>
  <c r="L344" i="1" s="1"/>
  <c r="G623" i="1" s="1"/>
  <c r="J623" i="1" s="1"/>
  <c r="F652" i="1"/>
  <c r="I652" i="1" s="1"/>
  <c r="C16" i="10"/>
  <c r="D15" i="13"/>
  <c r="C15" i="13" s="1"/>
  <c r="D6" i="13"/>
  <c r="C6" i="13" s="1"/>
  <c r="J607" i="1"/>
  <c r="I444" i="1"/>
  <c r="C106" i="2"/>
  <c r="C25" i="10"/>
  <c r="C15" i="10"/>
  <c r="F33" i="13"/>
  <c r="D119" i="2"/>
  <c r="D120" i="2" s="1"/>
  <c r="D137" i="2" s="1"/>
  <c r="H651" i="1"/>
  <c r="H654" i="1" s="1"/>
  <c r="F22" i="13"/>
  <c r="C22" i="13" s="1"/>
  <c r="F540" i="1"/>
  <c r="K540" i="1" s="1"/>
  <c r="C32" i="10"/>
  <c r="L604" i="1"/>
  <c r="C111" i="2"/>
  <c r="C120" i="2" s="1"/>
  <c r="F651" i="1"/>
  <c r="L354" i="1"/>
  <c r="I438" i="1"/>
  <c r="G632" i="1" s="1"/>
  <c r="C10" i="10"/>
  <c r="L374" i="1"/>
  <c r="G626" i="1" s="1"/>
  <c r="J626" i="1" s="1"/>
  <c r="C116" i="2"/>
  <c r="E103" i="2"/>
  <c r="E107" i="2" s="1"/>
  <c r="E137" i="2" s="1"/>
  <c r="C123" i="2"/>
  <c r="C136" i="2" s="1"/>
  <c r="C137" i="2" l="1"/>
  <c r="H662" i="1"/>
  <c r="C6" i="10" s="1"/>
  <c r="H657" i="1"/>
  <c r="C27" i="10"/>
  <c r="G625" i="1"/>
  <c r="J625" i="1" s="1"/>
  <c r="I651" i="1"/>
  <c r="I451" i="1"/>
  <c r="H632" i="1" s="1"/>
  <c r="G636" i="1"/>
  <c r="G621" i="1"/>
  <c r="J621" i="1" s="1"/>
  <c r="D33" i="13"/>
  <c r="D36" i="13" s="1"/>
  <c r="I650" i="1"/>
  <c r="I654" i="1" s="1"/>
  <c r="F654" i="1"/>
  <c r="G616" i="1"/>
  <c r="J616" i="1" s="1"/>
  <c r="J44" i="1"/>
  <c r="H611" i="1" s="1"/>
  <c r="J611" i="1" s="1"/>
  <c r="E96" i="2"/>
  <c r="G662" i="1"/>
  <c r="G657" i="1"/>
  <c r="C36" i="10"/>
  <c r="C28" i="10"/>
  <c r="D19" i="10" s="1"/>
  <c r="J632" i="1"/>
  <c r="G627" i="1"/>
  <c r="J627" i="1" s="1"/>
  <c r="H636" i="1"/>
  <c r="H646" i="1" l="1"/>
  <c r="I662" i="1"/>
  <c r="C7" i="10" s="1"/>
  <c r="I657" i="1"/>
  <c r="D25" i="10"/>
  <c r="D20" i="10"/>
  <c r="C30" i="10"/>
  <c r="D13" i="10"/>
  <c r="D22" i="10"/>
  <c r="D18" i="10"/>
  <c r="D12" i="10"/>
  <c r="D11" i="10"/>
  <c r="D24" i="10"/>
  <c r="D21" i="10"/>
  <c r="D23" i="10"/>
  <c r="D26" i="10"/>
  <c r="J636" i="1"/>
  <c r="D15" i="10"/>
  <c r="D10" i="10"/>
  <c r="D16" i="10"/>
  <c r="D27" i="10"/>
  <c r="C41" i="10"/>
  <c r="D36" i="10" s="1"/>
  <c r="D17" i="10"/>
  <c r="F662" i="1"/>
  <c r="F657" i="1"/>
  <c r="D28" i="10" l="1"/>
  <c r="D37" i="10"/>
  <c r="D38" i="10"/>
  <c r="D40" i="10"/>
  <c r="D35" i="10"/>
  <c r="D41" i="10" s="1"/>
  <c r="D3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6E00324-FE68-4B7F-8805-7DD2489CD79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F25B9B7-0EB0-4BB1-A78F-E805E72840C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7FD2127-DF5E-4394-A76D-DEF52CE1B42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C4006C3-5DD6-418E-8F17-C21B7B15E95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EA9383F-6756-4AB9-BD90-09029C97DCE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DDCF915-255E-4A05-AB7B-D098C19D0F4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F0E232F-6EC3-473A-ACB8-F96F6EFDDBB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F816E68-F88B-4F18-9950-E37787CAA47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A9E88E9-DA6A-4255-AA67-83EEEFE45C8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65A5BC1-3CE7-4310-B46B-63DFCE22715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3AC3DCE-B190-428C-B9AD-A8C984BFEE2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6FA7066-AA67-4B2E-8760-43B3CF9476C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<sst xmlns="http://schemas.openxmlformats.org/spreadsheetml/2006/main" count="3859" uniqueCount="895">
  <si>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</si>
  <si>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</si>
  <si>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</si>
  <si>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</si>
  <si>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</si>
  <si>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</si>
  <si>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</si>
  <si>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</si>
  <si>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</si>
  <si>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</si>
  <si>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</si>
  <si>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</si>
  <si>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</si>
  <si>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</si>
  <si>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</si>
  <si>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</si>
  <si>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</si>
  <si>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</si>
  <si>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</si>
  <si>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</si>
  <si>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</si>
  <si>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</si>
  <si>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</si>
  <si>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</si>
  <si>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</si>
  <si>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</si>
  <si>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</si>
  <si>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</si>
  <si>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</si>
  <si>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</si>
  <si>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</si>
  <si>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</si>
  <si>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</si>
  <si>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</si>
  <si>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</si>
  <si>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</si>
  <si>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</si>
  <si>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</si>
  <si>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</si>
  <si>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</si>
  <si>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</si>
  <si>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</si>
  <si>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</si>
  <si>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</si>
  <si>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</si>
  <si>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</si>
  <si>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</si>
  <si>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</si>
  <si>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</si>
  <si>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</si>
  <si>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</si>
  <si>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</si>
  <si>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</si>
  <si>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</si>
  <si>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</si>
  <si>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</si>
  <si>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</si>
  <si>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</si>
  <si>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</si>
  <si>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</si>
  <si>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</si>
  <si>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</si>
  <si>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</si>
  <si>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</si>
  <si>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</si>
  <si>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</si>
  <si>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</si>
  <si>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</si>
  <si>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</si>
  <si>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</si>
  <si>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</si>
  <si>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</si>
  <si>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</si>
  <si>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</si>
  <si>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</si>
  <si>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</si>
  <si>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</si>
  <si>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</si>
  <si>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</si>
  <si>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</si>
  <si>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</si>
  <si>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</si>
  <si>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</si>
  <si>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</si>
  <si>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</si>
  <si>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</si>
  <si>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</si>
  <si>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</si>
  <si>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</si>
  <si>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</si>
  <si>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</si>
  <si>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</si>
  <si>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</si>
  <si>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</si>
  <si>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</si>
  <si>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</si>
  <si>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</si>
  <si>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</si>
  <si>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</si>
  <si>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</si>
  <si>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</si>
  <si>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</si>
  <si>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</si>
  <si>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</si>
  <si>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</si>
  <si>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</si>
  <si>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</si>
  <si>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</si>
  <si>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</si>
  <si>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</si>
  <si>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</si>
  <si>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</si>
  <si>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</si>
  <si>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</si>
  <si>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</si>
  <si>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</si>
  <si>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</si>
  <si>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</si>
  <si>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</si>
  <si>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</si>
  <si>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</si>
  <si>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</si>
  <si>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</si>
  <si>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</si>
  <si>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</si>
  <si>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</si>
  <si>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</si>
  <si>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</si>
  <si>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</si>
  <si>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</si>
  <si>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</si>
  <si>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</si>
  <si>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</si>
  <si>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</si>
  <si>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</si>
  <si>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</si>
  <si>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</si>
  <si>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</si>
  <si>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</si>
  <si>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</si>
  <si>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</si>
  <si>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</si>
  <si>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</si>
  <si>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</si>
  <si>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</si>
  <si>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</si>
  <si>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</si>
  <si>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</si>
  <si>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</si>
  <si>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</si>
  <si>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</si>
  <si>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</si>
  <si>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</si>
  <si>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</si>
  <si>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</si>
  <si>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</si>
  <si>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</si>
  <si>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</si>
  <si>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</si>
  <si>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</si>
  <si>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</si>
  <si>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</si>
  <si>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</si>
  <si>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</si>
  <si>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</si>
  <si>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</si>
  <si>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</si>
  <si>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</si>
  <si>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</si>
  <si>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</si>
  <si>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</si>
  <si>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</si>
  <si>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</si>
  <si>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</si>
  <si>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</si>
  <si>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</si>
  <si>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</si>
  <si>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</si>
  <si>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</si>
  <si>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</si>
  <si>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</si>
  <si>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</si>
  <si>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</si>
  <si>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</si>
  <si>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</si>
  <si>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</si>
  <si>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</si>
  <si>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</si>
  <si>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</si>
  <si>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</si>
  <si>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</si>
  <si>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</si>
  <si>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</si>
  <si>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</si>
  <si>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</si>
  <si>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</si>
  <si>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</si>
  <si>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</si>
  <si>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</si>
  <si>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</si>
  <si>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</si>
  <si>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</si>
  <si>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</si>
  <si>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</si>
  <si>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</si>
  <si>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</si>
  <si>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</si>
  <si>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</si>
  <si>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</si>
  <si>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</si>
  <si>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</si>
  <si>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</si>
  <si>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</si>
  <si>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</si>
  <si>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</si>
  <si>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</si>
  <si>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</si>
  <si>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</si>
  <si>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</si>
  <si>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</si>
  <si>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</si>
  <si>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</si>
  <si>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</si>
  <si>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</si>
  <si>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</si>
  <si>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</si>
  <si>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</si>
  <si>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</si>
  <si>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</si>
  <si>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</si>
  <si>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</si>
  <si>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</si>
  <si>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</si>
  <si>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</si>
  <si>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</si>
  <si>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</si>
  <si>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</si>
  <si>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</si>
  <si>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</si>
  <si>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</si>
  <si>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</si>
  <si>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</si>
  <si>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</si>
  <si>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</si>
  <si>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</si>
  <si>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</si>
  <si>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</si>
  <si>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</si>
  <si>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</si>
  <si>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</si>
  <si>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</si>
  <si>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</si>
  <si>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</si>
  <si>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</si>
  <si>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</si>
  <si>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</si>
  <si>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</si>
  <si>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</si>
  <si>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</si>
  <si>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</si>
  <si>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</si>
  <si>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</si>
  <si>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</si>
  <si>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</si>
  <si>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</si>
  <si>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</si>
  <si>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</si>
  <si>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</si>
  <si>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</si>
  <si>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</si>
  <si>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</si>
  <si>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</si>
  <si>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</si>
  <si>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</si>
  <si>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</si>
  <si>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</si>
  <si>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</si>
  <si>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</si>
  <si>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</si>
  <si>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</si>
  <si>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</si>
  <si>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</si>
  <si>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</si>
  <si>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</si>
  <si>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</si>
  <si>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</si>
  <si>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</si>
  <si>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</si>
  <si>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</si>
  <si>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</si>
  <si>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</si>
  <si>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</si>
  <si>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</si>
  <si>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</si>
  <si>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</si>
  <si>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</si>
  <si>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</si>
  <si>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</si>
  <si>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</si>
  <si>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</si>
  <si>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</si>
  <si>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</si>
  <si>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</si>
  <si>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</si>
  <si>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</si>
  <si>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</si>
  <si>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</si>
  <si>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</si>
  <si>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</si>
  <si>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</si>
  <si>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</si>
  <si>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</si>
  <si>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</si>
  <si>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</si>
  <si>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</si>
  <si>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</si>
  <si>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</si>
  <si>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</si>
  <si>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</si>
  <si>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</si>
  <si>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</si>
  <si>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</si>
  <si>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</si>
  <si>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</si>
  <si>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</si>
  <si>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</si>
  <si>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</si>
  <si>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</si>
  <si>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</si>
  <si>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</si>
  <si>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</si>
  <si>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</si>
  <si>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</si>
  <si>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</si>
  <si>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</si>
  <si>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</si>
  <si>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</si>
  <si>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</si>
  <si>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</si>
  <si>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</si>
  <si>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</si>
  <si>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</si>
  <si>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</si>
  <si>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</si>
  <si>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</si>
  <si>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</si>
  <si>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</si>
  <si>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</si>
  <si>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</si>
  <si>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</si>
  <si>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</si>
  <si>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</si>
  <si>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</si>
  <si>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</si>
  <si>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</si>
  <si>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</si>
  <si>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</si>
  <si>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</si>
  <si>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</si>
  <si>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</si>
  <si>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</si>
  <si>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</si>
  <si>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</si>
  <si>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</si>
  <si>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</si>
  <si>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</si>
  <si>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</si>
  <si>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</si>
  <si>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</si>
  <si>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</si>
  <si>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</si>
  <si>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</si>
  <si>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</si>
  <si>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</si>
  <si>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</si>
  <si>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</si>
  <si>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</si>
  <si>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</si>
  <si>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</si>
  <si>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</si>
  <si>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</si>
  <si>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</si>
  <si>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</si>
  <si>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</si>
  <si>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</si>
  <si>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</si>
  <si>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</si>
  <si>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</si>
  <si>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</si>
  <si>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</si>
  <si>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</si>
  <si>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</si>
  <si>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</si>
  <si>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</si>
  <si>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</si>
  <si>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</si>
  <si>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</si>
  <si>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</si>
  <si>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</si>
  <si>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</si>
  <si>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</si>
  <si>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</si>
  <si>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</si>
  <si>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</si>
  <si>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</si>
  <si>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</si>
  <si>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</si>
  <si>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</si>
  <si>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</si>
  <si>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</si>
  <si>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</si>
  <si>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</si>
  <si>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</si>
  <si>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</si>
  <si>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</si>
  <si>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</si>
  <si>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</si>
  <si>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</si>
  <si>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</si>
  <si>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</si>
  <si>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</si>
  <si>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</si>
  <si>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</si>
  <si>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</si>
  <si>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</si>
  <si>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</si>
  <si>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</si>
  <si>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</si>
  <si>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</si>
  <si>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</si>
  <si>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</si>
  <si>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</si>
  <si>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</si>
  <si>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</si>
  <si>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</si>
  <si>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</si>
  <si>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</si>
  <si>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</si>
  <si>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</si>
  <si>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</si>
  <si>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</si>
  <si>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</si>
  <si>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</si>
  <si>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</si>
  <si>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</si>
  <si>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</si>
  <si>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</si>
  <si>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</si>
  <si>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</si>
  <si>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</si>
  <si>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</si>
  <si>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</si>
  <si>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</si>
  <si>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</si>
  <si>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</si>
  <si>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</si>
  <si>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</si>
  <si>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</si>
  <si>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</si>
  <si>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</si>
  <si>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</si>
  <si>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</si>
  <si>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</si>
  <si>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</si>
  <si>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</si>
  <si>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</si>
  <si>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</si>
  <si>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</si>
  <si>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</si>
  <si>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</si>
  <si>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</si>
  <si>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</si>
  <si>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</si>
  <si>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</si>
  <si>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</si>
  <si>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</si>
  <si>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</si>
  <si>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</si>
  <si>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</si>
  <si>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</si>
  <si>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</si>
  <si>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</si>
  <si>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</si>
  <si>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</si>
  <si>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</si>
  <si>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</si>
  <si>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</si>
  <si>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</si>
  <si>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</si>
  <si>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</si>
  <si>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</si>
  <si>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</si>
  <si>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</si>
  <si>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</si>
  <si>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</si>
  <si>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</si>
  <si>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</si>
  <si>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</si>
  <si>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</si>
  <si>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</si>
  <si>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</si>
  <si>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</si>
  <si>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</si>
  <si>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</si>
  <si>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</si>
  <si>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</si>
  <si>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</si>
  <si>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</si>
  <si>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</si>
  <si>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</si>
  <si>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</si>
  <si>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</si>
  <si>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</si>
  <si>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</si>
  <si>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</si>
  <si>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</si>
  <si>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</si>
  <si>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</si>
  <si>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</si>
  <si>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</si>
  <si>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</si>
  <si>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</si>
  <si>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</si>
  <si>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</si>
  <si>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</si>
  <si>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</si>
  <si>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</si>
  <si>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</si>
  <si>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</si>
  <si>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</si>
  <si>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</si>
  <si>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</si>
  <si>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</si>
  <si>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</si>
  <si>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</si>
  <si>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</si>
  <si>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</si>
  <si>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</si>
  <si>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</si>
  <si>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</si>
  <si>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</si>
  <si>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</si>
  <si>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</si>
  <si>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</si>
  <si>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</si>
  <si>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</si>
  <si>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</si>
  <si>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</si>
  <si>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</si>
  <si>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</si>
  <si>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</si>
  <si>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</si>
  <si>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</si>
  <si>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</si>
  <si>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</si>
  <si>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</si>
  <si>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</si>
  <si>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</si>
  <si>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</si>
  <si>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</si>
  <si>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</si>
  <si>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</si>
  <si>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</si>
  <si>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</si>
  <si>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</si>
  <si>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</si>
  <si>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</si>
  <si>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</si>
  <si>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</si>
  <si>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</si>
  <si>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</si>
  <si>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</si>
  <si>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</si>
  <si>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</si>
  <si>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</si>
  <si>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</si>
  <si>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</si>
  <si>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</si>
  <si>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</si>
  <si>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</si>
  <si>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</si>
  <si>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</si>
  <si>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</si>
  <si>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</si>
  <si>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</si>
  <si>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</si>
  <si>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</si>
  <si>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</si>
  <si>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</si>
  <si>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</si>
  <si>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</si>
  <si>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</si>
  <si>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</si>
  <si>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</si>
  <si>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</si>
  <si>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</si>
  <si>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</si>
  <si>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</si>
  <si>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</si>
  <si>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</si>
  <si>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</si>
  <si>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</si>
  <si>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</si>
  <si>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</si>
  <si>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</si>
  <si>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</si>
  <si>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</si>
  <si>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</si>
  <si>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</si>
  <si>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</si>
  <si>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</si>
  <si>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</si>
  <si>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</si>
  <si>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</si>
  <si>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</si>
  <si>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</si>
  <si>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</si>
  <si>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</si>
  <si>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</si>
  <si>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</si>
  <si>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</si>
  <si>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</si>
  <si>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</si>
  <si>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</si>
  <si>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</si>
  <si>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</si>
  <si>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</si>
  <si>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</si>
  <si>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</si>
  <si>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</si>
  <si>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</si>
  <si>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</si>
  <si>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</si>
  <si>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</si>
  <si>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</si>
  <si>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</si>
  <si>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</si>
  <si>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</si>
  <si>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</si>
  <si>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</si>
  <si>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</si>
  <si>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</si>
  <si>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</si>
  <si>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</si>
  <si>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</si>
  <si>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</si>
  <si>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</si>
  <si>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</si>
  <si>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</si>
  <si>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</si>
  <si>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</si>
  <si>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</si>
  <si>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</si>
  <si>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</si>
  <si>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</si>
  <si>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</si>
  <si>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</si>
  <si>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</si>
  <si>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</si>
  <si>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</si>
  <si>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</si>
  <si>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</si>
  <si>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</si>
  <si>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</si>
  <si>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</si>
  <si>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</si>
  <si>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</si>
  <si>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</si>
  <si>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</si>
  <si>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</si>
  <si>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</si>
  <si>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</si>
  <si>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</si>
  <si>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</si>
  <si>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</si>
  <si>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</si>
  <si>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</si>
  <si>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</si>
  <si>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</si>
  <si>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</si>
  <si>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</si>
  <si>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</si>
  <si>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</si>
  <si>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</si>
  <si>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</si>
  <si>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</si>
  <si>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</si>
  <si>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</si>
  <si>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</si>
  <si>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</si>
  <si>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</si>
  <si>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</si>
  <si>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</si>
  <si>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</si>
  <si>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</si>
  <si>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</si>
  <si>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</si>
  <si>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</si>
  <si>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</si>
  <si>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</si>
  <si>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</si>
  <si>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</si>
  <si>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</si>
  <si>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</si>
  <si>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</si>
  <si>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</si>
  <si>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</si>
  <si>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</si>
  <si>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</si>
  <si>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</si>
  <si>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</si>
  <si>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</si>
  <si>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</si>
  <si>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</si>
  <si>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</si>
  <si>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</si>
  <si>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</si>
  <si>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</si>
  <si>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</si>
  <si>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</si>
  <si>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</si>
  <si>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</si>
  <si>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</si>
  <si>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</si>
  <si>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</si>
  <si>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</si>
  <si>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</si>
  <si>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</si>
  <si>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</si>
  <si>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</si>
  <si>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</si>
  <si>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</si>
  <si>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</si>
  <si>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</si>
  <si>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</si>
  <si>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</si>
  <si>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</si>
  <si>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</si>
  <si>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</si>
  <si>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</si>
  <si>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</si>
  <si>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</si>
  <si>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</si>
  <si>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</si>
  <si>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</si>
  <si>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</si>
  <si>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</si>
  <si>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</si>
  <si>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</si>
  <si>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</si>
  <si>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</si>
  <si>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</si>
  <si>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</si>
  <si>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</si>
  <si>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</si>
  <si>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</si>
  <si>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</si>
  <si>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</si>
  <si>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</si>
  <si>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</si>
  <si>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</si>
  <si>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</si>
  <si>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</si>
  <si>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</si>
  <si>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</si>
  <si>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</si>
  <si>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</si>
  <si>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</si>
  <si>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</si>
  <si>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</si>
  <si>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</si>
  <si>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</si>
  <si>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</si>
  <si>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</si>
  <si>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</si>
  <si>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</si>
  <si>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</si>
  <si>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</si>
  <si>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</si>
  <si>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</si>
  <si>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</si>
  <si>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</si>
  <si>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</si>
  <si>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</si>
  <si>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</si>
  <si>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</si>
  <si>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</si>
  <si>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</si>
  <si>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</si>
  <si>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</si>
  <si>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</si>
  <si>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</si>
  <si>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</si>
  <si>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</si>
  <si>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</si>
  <si>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</si>
  <si>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</si>
  <si>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</si>
  <si>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</si>
  <si>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</si>
  <si>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</si>
  <si>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</si>
  <si>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</si>
  <si>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</si>
  <si>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</si>
  <si>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</si>
  <si>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</si>
  <si>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</si>
  <si>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</si>
  <si>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</si>
  <si>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</si>
  <si>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</si>
  <si>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</si>
  <si>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</si>
  <si>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</si>
  <si>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</si>
  <si>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</si>
  <si>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</si>
  <si>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</si>
  <si>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</si>
  <si>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</si>
  <si>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</si>
  <si>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</si>
  <si>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</si>
  <si>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</si>
  <si>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</si>
  <si>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</si>
  <si>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</si>
  <si>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</si>
  <si>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</si>
  <si>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</si>
  <si>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</si>
  <si>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</si>
  <si>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</si>
  <si>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</si>
  <si>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</si>
  <si>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</si>
  <si>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</si>
  <si>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</si>
  <si>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</si>
  <si>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</si>
  <si>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</si>
  <si>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</si>
  <si>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</si>
  <si>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</si>
  <si>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</si>
  <si>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</si>
  <si>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</si>
  <si>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</si>
  <si>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</si>
  <si>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</si>
  <si>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</si>
  <si>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</si>
  <si>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</si>
  <si>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</si>
  <si>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</si>
  <si>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</si>
  <si>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</si>
  <si>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</si>
  <si>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</si>
  <si>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</si>
  <si>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</si>
  <si>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</si>
  <si>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</si>
  <si>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</si>
  <si>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</si>
  <si>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</si>
  <si>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</si>
  <si>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</si>
  <si>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</si>
  <si>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</si>
  <si>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</si>
  <si>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</si>
  <si>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</si>
  <si>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</si>
  <si>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</si>
  <si>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</si>
  <si>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</si>
  <si>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</si>
  <si>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</si>
  <si>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</si>
  <si>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</si>
  <si>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</si>
  <si>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</si>
  <si>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</si>
  <si>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</si>
  <si>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</si>
  <si>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</si>
  <si>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</si>
  <si>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</si>
  <si>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</si>
  <si>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</si>
  <si>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</si>
  <si>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</si>
  <si>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PEMI-BAKER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</si>
</sst>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5292-B038-4313-8A16-8FC8BEF9A11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8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428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1213892.78</v>
      </c>
      <c r="G9" s="18">
        <v>-62387.4</v>
      </c>
      <c r="H9" s="18">
        <v>-7534.82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3300.33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249484.04</v>
      </c>
      <c r="G13" s="18">
        <v>28186.75</v>
      </c>
      <c r="H13" s="18">
        <v>34343.61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13884.48</v>
      </c>
      <c r="G14" s="18">
        <v>37234.1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1477261.3</v>
      </c>
      <c r="G19" s="41">
        <f>SUM(G9:G18)</f>
        <v>3033.4499999999971</v>
      </c>
      <c r="H19" s="41">
        <f>SUM(H9:H18)</f>
        <v>26808.79</v>
      </c>
      <c r="I19" s="41">
        <f>SUM(I9:I18)</f>
        <v>0</v>
      </c>
      <c r="J19" s="41">
        <f>SUM(J9:J18)</f>
        <v>3300.33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402366.91</v>
      </c>
      <c r="G25" s="18"/>
      <c r="H25" s="18">
        <v>9908.4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65000</v>
      </c>
      <c r="G31" s="18"/>
      <c r="H31" s="18">
        <v>16900.39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467366.91</v>
      </c>
      <c r="G33" s="41">
        <f>SUM(G23:G32)</f>
        <v>0</v>
      </c>
      <c r="H33" s="41">
        <f>SUM(H23:H32)</f>
        <v>26808.79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864094.57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3033.45</v>
      </c>
      <c r="H41" s="18">
        <v>0</v>
      </c>
      <c r="I41" s="18"/>
      <c r="J41" s="13">
        <f>SUM(I449)</f>
        <v>3300.33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145799.82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1009894.3899999999</v>
      </c>
      <c r="G43" s="41">
        <f>SUM(G35:G42)</f>
        <v>3033.45</v>
      </c>
      <c r="H43" s="41">
        <f>SUM(H35:H42)</f>
        <v>0</v>
      </c>
      <c r="I43" s="41">
        <f>SUM(I35:I42)</f>
        <v>0</v>
      </c>
      <c r="J43" s="41">
        <f>SUM(J35:J42)</f>
        <v>3300.33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1477261.2999999998</v>
      </c>
      <c r="G44" s="41">
        <f>G43+G33</f>
        <v>3033.45</v>
      </c>
      <c r="H44" s="41">
        <f>H43+H33</f>
        <v>26808.79</v>
      </c>
      <c r="I44" s="41">
        <f>I43+I33</f>
        <v>0</v>
      </c>
      <c r="J44" s="41">
        <f>J43+J33</f>
        <v>3300.33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6361689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6361689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10000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171743.61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21765.78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17403.330000000002</v>
      </c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220912.71999999997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5839.65</v>
      </c>
      <c r="G88" s="18"/>
      <c r="H88" s="18"/>
      <c r="I88" s="18"/>
      <c r="J88" s="18">
        <v>7.44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242840.81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280470.55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286310.2</v>
      </c>
      <c r="G103" s="41">
        <f>SUM(G88:G102)</f>
        <v>242840.81</v>
      </c>
      <c r="H103" s="41">
        <f>SUM(H88:H102)</f>
        <v>0</v>
      </c>
      <c r="I103" s="41">
        <f>SUM(I88:I102)</f>
        <v>0</v>
      </c>
      <c r="J103" s="41">
        <f>SUM(J88:J102)</f>
        <v>7.44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6868911.9199999999</v>
      </c>
      <c r="G104" s="41">
        <f>G52+G103</f>
        <v>242840.81</v>
      </c>
      <c r="H104" s="41">
        <f>H52+H71+H86+H103</f>
        <v>0</v>
      </c>
      <c r="I104" s="41">
        <f>I52+I103</f>
        <v>0</v>
      </c>
      <c r="J104" s="41">
        <f>J52+J103</f>
        <v>7.44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2029067.61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2047650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778489.39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4855207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89220.52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45944.37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3013.24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135164.89000000001</v>
      </c>
      <c r="G128" s="41">
        <f>SUM(G115:G127)</f>
        <v>3013.24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4990371.8899999997</v>
      </c>
      <c r="G132" s="41">
        <f>G113+SUM(G128:G129)</f>
        <v>3013.24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75039.27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77255.070000000007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19484.61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113023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37162.33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93086.37</v>
      </c>
      <c r="I153" s="18" t="s">
        <v>310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37162.33</v>
      </c>
      <c r="G154" s="41">
        <f>SUM(G142:G153)</f>
        <v>113023</v>
      </c>
      <c r="H154" s="41">
        <f>SUM(H142:H153)</f>
        <v>264865.32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37162.33</v>
      </c>
      <c r="G161" s="41">
        <f>G139+G154+SUM(G155:G160)</f>
        <v>113023</v>
      </c>
      <c r="H161" s="41">
        <f>H139+H154+SUM(H155:H160)</f>
        <v>264865.32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11896446.139999999</v>
      </c>
      <c r="G185" s="47">
        <f>G104+G132+G161+G184</f>
        <v>358877.05</v>
      </c>
      <c r="H185" s="47">
        <f>H104+H132+H161+H184</f>
        <v>264865.32</v>
      </c>
      <c r="I185" s="47">
        <f>I104+I132+I161+I184</f>
        <v>0</v>
      </c>
      <c r="J185" s="47">
        <f>J104+J132+J184</f>
        <v>7.44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3240571.13</v>
      </c>
      <c r="G225" s="18">
        <v>1227245.44</v>
      </c>
      <c r="H225" s="18">
        <v>126097.33</v>
      </c>
      <c r="I225" s="18">
        <v>134154.41</v>
      </c>
      <c r="J225" s="18">
        <v>79436.320000000007</v>
      </c>
      <c r="K225" s="18">
        <v>645</v>
      </c>
      <c r="L225" s="19">
        <f>SUM(F225:K225)</f>
        <v>4808149.6300000008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798028.27</v>
      </c>
      <c r="G226" s="18">
        <v>359899.06</v>
      </c>
      <c r="H226" s="18">
        <v>466748.6</v>
      </c>
      <c r="I226" s="18">
        <v>12485.28</v>
      </c>
      <c r="J226" s="18"/>
      <c r="K226" s="18">
        <v>399</v>
      </c>
      <c r="L226" s="19">
        <f>SUM(F226:K226)</f>
        <v>1637560.2100000002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262707.77</v>
      </c>
      <c r="G227" s="18">
        <v>105686.61</v>
      </c>
      <c r="H227" s="18">
        <v>3778.23</v>
      </c>
      <c r="I227" s="18">
        <v>36394.36</v>
      </c>
      <c r="J227" s="18">
        <v>31153.24</v>
      </c>
      <c r="K227" s="18">
        <v>799</v>
      </c>
      <c r="L227" s="19">
        <f>SUM(F227:K227)</f>
        <v>440519.20999999996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222989.17</v>
      </c>
      <c r="G228" s="18">
        <v>30097.06</v>
      </c>
      <c r="H228" s="18">
        <v>92442.09</v>
      </c>
      <c r="I228" s="18">
        <v>65428.51</v>
      </c>
      <c r="J228" s="18">
        <v>50916.38</v>
      </c>
      <c r="K228" s="18">
        <v>7806</v>
      </c>
      <c r="L228" s="19">
        <f>SUM(F228:K228)</f>
        <v>469679.21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465723.73</v>
      </c>
      <c r="G230" s="18">
        <v>194868.92</v>
      </c>
      <c r="H230" s="18">
        <v>104356.28</v>
      </c>
      <c r="I230" s="18">
        <v>7290.76</v>
      </c>
      <c r="J230" s="18"/>
      <c r="K230" s="18">
        <v>2205</v>
      </c>
      <c r="L230" s="19">
        <f t="shared" ref="L230:L236" si="4">SUM(F230:K230)</f>
        <v>774444.69000000006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174156.44</v>
      </c>
      <c r="G231" s="18">
        <v>153961.95000000001</v>
      </c>
      <c r="H231" s="18">
        <v>6163.67</v>
      </c>
      <c r="I231" s="18">
        <v>46035.63</v>
      </c>
      <c r="J231" s="18">
        <v>3852.61</v>
      </c>
      <c r="K231" s="18"/>
      <c r="L231" s="19">
        <f t="shared" si="4"/>
        <v>384170.3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199943.87</v>
      </c>
      <c r="G232" s="18">
        <v>79781.08</v>
      </c>
      <c r="H232" s="18">
        <v>424548.82</v>
      </c>
      <c r="I232" s="18">
        <v>4316.0600000000004</v>
      </c>
      <c r="J232" s="18"/>
      <c r="K232" s="18">
        <v>5187.8999999999996</v>
      </c>
      <c r="L232" s="19">
        <f t="shared" si="4"/>
        <v>713777.7300000001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379616.32</v>
      </c>
      <c r="G233" s="18">
        <v>152944.46</v>
      </c>
      <c r="H233" s="18">
        <v>23023.69</v>
      </c>
      <c r="I233" s="18">
        <v>4189.68</v>
      </c>
      <c r="J233" s="18"/>
      <c r="K233" s="18">
        <v>14684.81</v>
      </c>
      <c r="L233" s="19">
        <f t="shared" si="4"/>
        <v>574458.96000000008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2896.99</v>
      </c>
      <c r="I234" s="18"/>
      <c r="J234" s="18"/>
      <c r="K234" s="18"/>
      <c r="L234" s="19">
        <f t="shared" si="4"/>
        <v>2896.99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447872.81</v>
      </c>
      <c r="G235" s="18">
        <v>157180.31</v>
      </c>
      <c r="H235" s="18">
        <v>291371.93</v>
      </c>
      <c r="I235" s="18">
        <v>417211.35</v>
      </c>
      <c r="J235" s="18">
        <v>48468.25</v>
      </c>
      <c r="K235" s="18"/>
      <c r="L235" s="19">
        <f t="shared" si="4"/>
        <v>1362104.65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404782.5</v>
      </c>
      <c r="I236" s="18">
        <v>437.1</v>
      </c>
      <c r="J236" s="18"/>
      <c r="K236" s="18"/>
      <c r="L236" s="19">
        <f t="shared" si="4"/>
        <v>405219.6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6191609.5100000007</v>
      </c>
      <c r="G239" s="41">
        <f t="shared" si="5"/>
        <v>2461664.89</v>
      </c>
      <c r="H239" s="41">
        <f t="shared" si="5"/>
        <v>1946210.13</v>
      </c>
      <c r="I239" s="41">
        <f t="shared" si="5"/>
        <v>727943.14</v>
      </c>
      <c r="J239" s="41">
        <f t="shared" si="5"/>
        <v>213826.8</v>
      </c>
      <c r="K239" s="41">
        <f t="shared" si="5"/>
        <v>31726.71</v>
      </c>
      <c r="L239" s="41">
        <f t="shared" si="5"/>
        <v>11572981.180000003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285133.48</v>
      </c>
      <c r="I247" s="18"/>
      <c r="J247" s="18"/>
      <c r="K247" s="18"/>
      <c r="L247" s="19">
        <f t="shared" si="6"/>
        <v>285133.48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285133.48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285133.48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6191609.5100000007</v>
      </c>
      <c r="G249" s="41">
        <f t="shared" si="8"/>
        <v>2461664.89</v>
      </c>
      <c r="H249" s="41">
        <f t="shared" si="8"/>
        <v>2231343.61</v>
      </c>
      <c r="I249" s="41">
        <f t="shared" si="8"/>
        <v>727943.14</v>
      </c>
      <c r="J249" s="41">
        <f t="shared" si="8"/>
        <v>213826.8</v>
      </c>
      <c r="K249" s="41">
        <f t="shared" si="8"/>
        <v>31726.71</v>
      </c>
      <c r="L249" s="41">
        <f t="shared" si="8"/>
        <v>11858114.660000004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6191609.5100000007</v>
      </c>
      <c r="G263" s="42">
        <f t="shared" si="11"/>
        <v>2461664.89</v>
      </c>
      <c r="H263" s="42">
        <f t="shared" si="11"/>
        <v>2231343.61</v>
      </c>
      <c r="I263" s="42">
        <f t="shared" si="11"/>
        <v>727943.14</v>
      </c>
      <c r="J263" s="42">
        <f t="shared" si="11"/>
        <v>213826.8</v>
      </c>
      <c r="K263" s="42">
        <f t="shared" si="11"/>
        <v>31726.71</v>
      </c>
      <c r="L263" s="42">
        <f t="shared" si="11"/>
        <v>11858114.660000004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25262</v>
      </c>
      <c r="G306" s="18">
        <v>6580.34</v>
      </c>
      <c r="H306" s="18">
        <v>5560.75</v>
      </c>
      <c r="I306" s="18">
        <v>634.12</v>
      </c>
      <c r="J306" s="18">
        <v>22829.98</v>
      </c>
      <c r="K306" s="18"/>
      <c r="L306" s="19">
        <f>SUM(F306:K306)</f>
        <v>60867.19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30323.24</v>
      </c>
      <c r="G307" s="18">
        <v>15447.31</v>
      </c>
      <c r="H307" s="18"/>
      <c r="I307" s="18">
        <v>29000</v>
      </c>
      <c r="J307" s="18">
        <v>14968.62</v>
      </c>
      <c r="K307" s="18"/>
      <c r="L307" s="19">
        <f>SUM(F307:K307)</f>
        <v>89739.17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45065.93</v>
      </c>
      <c r="G308" s="18">
        <v>20882.580000000002</v>
      </c>
      <c r="H308" s="18"/>
      <c r="I308" s="18">
        <v>2771.68</v>
      </c>
      <c r="J308" s="18"/>
      <c r="K308" s="18">
        <v>3211.73</v>
      </c>
      <c r="L308" s="19">
        <f>SUM(F308:K308)</f>
        <v>71931.92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13053.5</v>
      </c>
      <c r="G309" s="18">
        <v>1940.71</v>
      </c>
      <c r="H309" s="18"/>
      <c r="I309" s="18"/>
      <c r="J309" s="18"/>
      <c r="K309" s="18"/>
      <c r="L309" s="19">
        <f>SUM(F309:K309)</f>
        <v>14994.21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>
        <v>3000.3</v>
      </c>
      <c r="H312" s="18">
        <v>7994.95</v>
      </c>
      <c r="I312" s="18"/>
      <c r="J312" s="18"/>
      <c r="K312" s="18"/>
      <c r="L312" s="19">
        <f t="shared" si="16"/>
        <v>10995.25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5500</v>
      </c>
      <c r="G313" s="18">
        <v>421</v>
      </c>
      <c r="H313" s="18">
        <v>213.9</v>
      </c>
      <c r="I313" s="18"/>
      <c r="J313" s="18"/>
      <c r="K313" s="18"/>
      <c r="L313" s="19">
        <f t="shared" si="16"/>
        <v>6134.9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v>9331.68</v>
      </c>
      <c r="L315" s="19">
        <f t="shared" si="16"/>
        <v>9331.68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871</v>
      </c>
      <c r="I317" s="18"/>
      <c r="J317" s="18"/>
      <c r="K317" s="18"/>
      <c r="L317" s="19">
        <f t="shared" si="16"/>
        <v>871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119204.67000000001</v>
      </c>
      <c r="G320" s="42">
        <f t="shared" si="17"/>
        <v>48272.240000000005</v>
      </c>
      <c r="H320" s="42">
        <f t="shared" si="17"/>
        <v>14640.6</v>
      </c>
      <c r="I320" s="42">
        <f t="shared" si="17"/>
        <v>32405.8</v>
      </c>
      <c r="J320" s="42">
        <f t="shared" si="17"/>
        <v>37798.6</v>
      </c>
      <c r="K320" s="42">
        <f t="shared" si="17"/>
        <v>12543.41</v>
      </c>
      <c r="L320" s="41">
        <f t="shared" si="17"/>
        <v>264865.31999999995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119204.67000000001</v>
      </c>
      <c r="G330" s="41">
        <f t="shared" si="20"/>
        <v>48272.240000000005</v>
      </c>
      <c r="H330" s="41">
        <f t="shared" si="20"/>
        <v>14640.6</v>
      </c>
      <c r="I330" s="41">
        <f t="shared" si="20"/>
        <v>32405.8</v>
      </c>
      <c r="J330" s="41">
        <f t="shared" si="20"/>
        <v>37798.6</v>
      </c>
      <c r="K330" s="41">
        <f t="shared" si="20"/>
        <v>12543.41</v>
      </c>
      <c r="L330" s="41">
        <f t="shared" si="20"/>
        <v>264865.31999999995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119204.67000000001</v>
      </c>
      <c r="G344" s="41">
        <f>G330</f>
        <v>48272.240000000005</v>
      </c>
      <c r="H344" s="41">
        <f>H330</f>
        <v>14640.6</v>
      </c>
      <c r="I344" s="41">
        <f>I330</f>
        <v>32405.8</v>
      </c>
      <c r="J344" s="41">
        <f>J330</f>
        <v>37798.6</v>
      </c>
      <c r="K344" s="47">
        <f>K330+K343</f>
        <v>12543.41</v>
      </c>
      <c r="L344" s="41">
        <f>L330+L343</f>
        <v>264865.31999999995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355843.6</v>
      </c>
      <c r="I352" s="18"/>
      <c r="J352" s="18"/>
      <c r="K352" s="18"/>
      <c r="L352" s="19">
        <f>SUM(F352:K352)</f>
        <v>355843.6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355843.6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355843.6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3.72</v>
      </c>
      <c r="I381" s="18"/>
      <c r="J381" s="24" t="s">
        <v>312</v>
      </c>
      <c r="K381" s="24" t="s">
        <v>312</v>
      </c>
      <c r="L381" s="56">
        <f t="shared" si="25"/>
        <v>3.72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3.72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3.72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3.72</v>
      </c>
      <c r="I389" s="18"/>
      <c r="J389" s="24" t="s">
        <v>312</v>
      </c>
      <c r="K389" s="24" t="s">
        <v>312</v>
      </c>
      <c r="L389" s="56">
        <f t="shared" si="26"/>
        <v>3.72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3.72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3.72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7.44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7.44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3300.33</v>
      </c>
      <c r="G432" s="18"/>
      <c r="H432" s="18"/>
      <c r="I432" s="56">
        <f t="shared" si="33"/>
        <v>3300.33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3300.33</v>
      </c>
      <c r="G438" s="13">
        <f>SUM(G431:G437)</f>
        <v>0</v>
      </c>
      <c r="H438" s="13">
        <f>SUM(H431:H437)</f>
        <v>0</v>
      </c>
      <c r="I438" s="13">
        <f>SUM(I431:I437)</f>
        <v>3300.33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3300.33</v>
      </c>
      <c r="G449" s="18"/>
      <c r="H449" s="18"/>
      <c r="I449" s="56">
        <f>SUM(F449:H449)</f>
        <v>3300.33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3300.33</v>
      </c>
      <c r="G450" s="83">
        <f>SUM(G446:G449)</f>
        <v>0</v>
      </c>
      <c r="H450" s="83">
        <f>SUM(H446:H449)</f>
        <v>0</v>
      </c>
      <c r="I450" s="83">
        <f>SUM(I446:I449)</f>
        <v>3300.33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3300.33</v>
      </c>
      <c r="G451" s="42">
        <f>G444+G450</f>
        <v>0</v>
      </c>
      <c r="H451" s="42">
        <f>H444+H450</f>
        <v>0</v>
      </c>
      <c r="I451" s="42">
        <f>I444+I450</f>
        <v>3300.33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971562.91</v>
      </c>
      <c r="G455" s="18">
        <v>0</v>
      </c>
      <c r="H455" s="18">
        <v>0</v>
      </c>
      <c r="I455" s="18"/>
      <c r="J455" s="18">
        <v>3292.89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11896446.140000001</v>
      </c>
      <c r="G458" s="18">
        <v>358877.05</v>
      </c>
      <c r="H458" s="18">
        <v>264865.32</v>
      </c>
      <c r="I458" s="18"/>
      <c r="J458" s="18">
        <v>7.44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11896446.140000001</v>
      </c>
      <c r="G460" s="53">
        <f>SUM(G458:G459)</f>
        <v>358877.05</v>
      </c>
      <c r="H460" s="53">
        <f>SUM(H458:H459)</f>
        <v>264865.32</v>
      </c>
      <c r="I460" s="53">
        <f>SUM(I458:I459)</f>
        <v>0</v>
      </c>
      <c r="J460" s="53">
        <f>SUM(J458:J459)</f>
        <v>7.44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11858114.66</v>
      </c>
      <c r="G462" s="18">
        <v>355843.6</v>
      </c>
      <c r="H462" s="18">
        <v>264865.32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11858114.66</v>
      </c>
      <c r="G464" s="53">
        <f>SUM(G462:G463)</f>
        <v>355843.6</v>
      </c>
      <c r="H464" s="53">
        <f>SUM(H462:H463)</f>
        <v>264865.32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1009894.3900000006</v>
      </c>
      <c r="G466" s="53">
        <f>(G455+G460)- G464</f>
        <v>3033.4500000000116</v>
      </c>
      <c r="H466" s="53">
        <f>(H455+H460)- H464</f>
        <v>0</v>
      </c>
      <c r="I466" s="53">
        <f>(I455+I460)- I464</f>
        <v>0</v>
      </c>
      <c r="J466" s="53">
        <f>(J455+J460)- J464</f>
        <v>3300.33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707757.87</v>
      </c>
      <c r="G513" s="18">
        <v>322078.94</v>
      </c>
      <c r="H513" s="18">
        <v>466748.6</v>
      </c>
      <c r="I513" s="18">
        <v>41485.279999999999</v>
      </c>
      <c r="J513" s="18">
        <v>14968.62</v>
      </c>
      <c r="K513" s="18">
        <v>399</v>
      </c>
      <c r="L513" s="88">
        <f>SUM(F513:K513)</f>
        <v>1553438.3100000003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707757.87</v>
      </c>
      <c r="G514" s="108">
        <f t="shared" ref="G514:L514" si="35">SUM(G511:G513)</f>
        <v>322078.94</v>
      </c>
      <c r="H514" s="108">
        <f t="shared" si="35"/>
        <v>466748.6</v>
      </c>
      <c r="I514" s="108">
        <f t="shared" si="35"/>
        <v>41485.279999999999</v>
      </c>
      <c r="J514" s="108">
        <f t="shared" si="35"/>
        <v>14968.62</v>
      </c>
      <c r="K514" s="108">
        <f t="shared" si="35"/>
        <v>399</v>
      </c>
      <c r="L514" s="89">
        <f t="shared" si="35"/>
        <v>1553438.3100000003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176650.58</v>
      </c>
      <c r="G518" s="18">
        <v>57908.84</v>
      </c>
      <c r="H518" s="18">
        <v>26403.17</v>
      </c>
      <c r="I518" s="18">
        <v>2523.7800000000002</v>
      </c>
      <c r="J518" s="18"/>
      <c r="K518" s="18">
        <v>1221</v>
      </c>
      <c r="L518" s="88">
        <f>SUM(F518:K518)</f>
        <v>264707.37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176650.58</v>
      </c>
      <c r="G519" s="89">
        <f t="shared" ref="G519:L519" si="36">SUM(G516:G518)</f>
        <v>57908.84</v>
      </c>
      <c r="H519" s="89">
        <f t="shared" si="36"/>
        <v>26403.17</v>
      </c>
      <c r="I519" s="89">
        <f t="shared" si="36"/>
        <v>2523.7800000000002</v>
      </c>
      <c r="J519" s="89">
        <f t="shared" si="36"/>
        <v>0</v>
      </c>
      <c r="K519" s="89">
        <f t="shared" si="36"/>
        <v>1221</v>
      </c>
      <c r="L519" s="89">
        <f t="shared" si="36"/>
        <v>264707.37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155927.39000000001</v>
      </c>
      <c r="G523" s="18">
        <v>61734.879999999997</v>
      </c>
      <c r="H523" s="18">
        <v>398.01</v>
      </c>
      <c r="I523" s="18">
        <v>0</v>
      </c>
      <c r="J523" s="18">
        <v>0</v>
      </c>
      <c r="K523" s="18">
        <v>58.77</v>
      </c>
      <c r="L523" s="88">
        <f>SUM(F523:K523)</f>
        <v>218119.05000000002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155927.39000000001</v>
      </c>
      <c r="G524" s="89">
        <f t="shared" ref="G524:L524" si="37">SUM(G521:G523)</f>
        <v>61734.879999999997</v>
      </c>
      <c r="H524" s="89">
        <f t="shared" si="37"/>
        <v>398.01</v>
      </c>
      <c r="I524" s="89">
        <f t="shared" si="37"/>
        <v>0</v>
      </c>
      <c r="J524" s="89">
        <f t="shared" si="37"/>
        <v>0</v>
      </c>
      <c r="K524" s="89">
        <f t="shared" si="37"/>
        <v>58.77</v>
      </c>
      <c r="L524" s="89">
        <f t="shared" si="37"/>
        <v>218119.05000000002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84846.15</v>
      </c>
      <c r="I533" s="18"/>
      <c r="J533" s="18"/>
      <c r="K533" s="18"/>
      <c r="L533" s="88">
        <f>SUM(F533:K533)</f>
        <v>84846.15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84846.15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84846.15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1040335.84</v>
      </c>
      <c r="G535" s="89">
        <f t="shared" ref="G535:L535" si="40">G514+G519+G524+G529+G534</f>
        <v>441722.66000000003</v>
      </c>
      <c r="H535" s="89">
        <f t="shared" si="40"/>
        <v>578395.92999999993</v>
      </c>
      <c r="I535" s="89">
        <f t="shared" si="40"/>
        <v>44009.06</v>
      </c>
      <c r="J535" s="89">
        <f t="shared" si="40"/>
        <v>14968.62</v>
      </c>
      <c r="K535" s="89">
        <f t="shared" si="40"/>
        <v>1678.77</v>
      </c>
      <c r="L535" s="89">
        <f t="shared" si="40"/>
        <v>2121110.8800000004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1553438.3100000003</v>
      </c>
      <c r="G541" s="87">
        <f>L518</f>
        <v>264707.37</v>
      </c>
      <c r="H541" s="87">
        <f>L523</f>
        <v>218119.05000000002</v>
      </c>
      <c r="I541" s="87">
        <f>L528</f>
        <v>0</v>
      </c>
      <c r="J541" s="87">
        <f>L533</f>
        <v>84846.15</v>
      </c>
      <c r="K541" s="87">
        <f>SUM(F541:J541)</f>
        <v>2121110.8800000004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1553438.3100000003</v>
      </c>
      <c r="G542" s="89">
        <f t="shared" si="41"/>
        <v>264707.37</v>
      </c>
      <c r="H542" s="89">
        <f t="shared" si="41"/>
        <v>218119.05000000002</v>
      </c>
      <c r="I542" s="89">
        <f t="shared" si="41"/>
        <v>0</v>
      </c>
      <c r="J542" s="89">
        <f t="shared" si="41"/>
        <v>84846.15</v>
      </c>
      <c r="K542" s="89">
        <f t="shared" si="41"/>
        <v>2121110.8800000004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32844.980000000003</v>
      </c>
      <c r="I569" s="87">
        <f t="shared" si="46"/>
        <v>32844.980000000003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6650</v>
      </c>
      <c r="I571" s="87">
        <f t="shared" si="46"/>
        <v>6650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262000</v>
      </c>
      <c r="I572" s="87">
        <f t="shared" si="46"/>
        <v>262000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157000</v>
      </c>
      <c r="I573" s="87">
        <f t="shared" si="46"/>
        <v>157000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>
        <v>242467.18</v>
      </c>
      <c r="K581" s="104">
        <f t="shared" ref="K581:K587" si="47">SUM(H581:J581)</f>
        <v>242467.18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84846.15</v>
      </c>
      <c r="K582" s="104">
        <f t="shared" si="47"/>
        <v>84846.15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1195.9000000000001</v>
      </c>
      <c r="K583" s="104">
        <f t="shared" si="47"/>
        <v>1195.9000000000001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66508</v>
      </c>
      <c r="K584" s="104">
        <f t="shared" si="47"/>
        <v>66508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>
        <v>10202.370000000001</v>
      </c>
      <c r="K585" s="104">
        <f t="shared" si="47"/>
        <v>10202.370000000001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405219.6</v>
      </c>
      <c r="K588" s="108">
        <f>SUM(K581:K587)</f>
        <v>405219.6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>
        <v>251625.4</v>
      </c>
      <c r="K594" s="104">
        <f>SUM(H594:J594)</f>
        <v>251625.4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251625.4</v>
      </c>
      <c r="K595" s="108">
        <f>SUM(K592:K594)</f>
        <v>251625.4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13053.5</v>
      </c>
      <c r="G603" s="18">
        <v>1940.71</v>
      </c>
      <c r="H603" s="18"/>
      <c r="I603" s="18">
        <v>9634.27</v>
      </c>
      <c r="J603" s="18"/>
      <c r="K603" s="18"/>
      <c r="L603" s="88">
        <f>SUM(F603:K603)</f>
        <v>24628.48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13053.5</v>
      </c>
      <c r="G604" s="108">
        <f t="shared" si="48"/>
        <v>1940.71</v>
      </c>
      <c r="H604" s="108">
        <f t="shared" si="48"/>
        <v>0</v>
      </c>
      <c r="I604" s="108">
        <f t="shared" si="48"/>
        <v>9634.27</v>
      </c>
      <c r="J604" s="108">
        <f t="shared" si="48"/>
        <v>0</v>
      </c>
      <c r="K604" s="108">
        <f t="shared" si="48"/>
        <v>0</v>
      </c>
      <c r="L604" s="89">
        <f t="shared" si="48"/>
        <v>24628.48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1477261.3</v>
      </c>
      <c r="H607" s="109">
        <f>SUM(F44)</f>
        <v>1477261.2999999998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3033.4499999999971</v>
      </c>
      <c r="H608" s="109">
        <f>SUM(G44)</f>
        <v>3033.45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26808.79</v>
      </c>
      <c r="H609" s="109">
        <f>SUM(H44)</f>
        <v>26808.79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3300.33</v>
      </c>
      <c r="H611" s="109">
        <f>SUM(J44)</f>
        <v>3300.33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1009894.3899999999</v>
      </c>
      <c r="H612" s="109">
        <f>F466</f>
        <v>1009894.3900000006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3033.45</v>
      </c>
      <c r="H613" s="109">
        <f>G466</f>
        <v>3033.4500000000116</v>
      </c>
      <c r="I613" s="121" t="s">
        <v>108</v>
      </c>
      <c r="J613" s="109">
        <f t="shared" si="49"/>
        <v>-1.1823431123048067E-11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3300.33</v>
      </c>
      <c r="H616" s="109">
        <f>J466</f>
        <v>3300.33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11896446.139999999</v>
      </c>
      <c r="H617" s="104">
        <f>SUM(F458)</f>
        <v>11896446.140000001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358877.05</v>
      </c>
      <c r="H618" s="104">
        <f>SUM(G458)</f>
        <v>358877.05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264865.32</v>
      </c>
      <c r="H619" s="104">
        <f>SUM(H458)</f>
        <v>264865.32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7.44</v>
      </c>
      <c r="H621" s="104">
        <f>SUM(J458)</f>
        <v>7.44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11858114.660000004</v>
      </c>
      <c r="H622" s="104">
        <f>SUM(F462)</f>
        <v>11858114.66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264865.31999999995</v>
      </c>
      <c r="H623" s="104">
        <f>SUM(H462)</f>
        <v>264865.32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355843.6</v>
      </c>
      <c r="H625" s="104">
        <f>SUM(G462)</f>
        <v>355843.6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7.44</v>
      </c>
      <c r="H627" s="164">
        <f>SUM(J458)</f>
        <v>7.44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3300.33</v>
      </c>
      <c r="H629" s="104">
        <f>SUM(F451)</f>
        <v>3300.33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3300.33</v>
      </c>
      <c r="H632" s="104">
        <f>SUM(I451)</f>
        <v>3300.33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7.44</v>
      </c>
      <c r="H634" s="104">
        <f>H400</f>
        <v>7.44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7.44</v>
      </c>
      <c r="H636" s="104">
        <f>L400</f>
        <v>7.44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405219.6</v>
      </c>
      <c r="H637" s="104">
        <f>L200+L218+L236</f>
        <v>405219.6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251625.4</v>
      </c>
      <c r="H638" s="104">
        <f>(J249+J330)-(J247+J328)</f>
        <v>251625.4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405219.6</v>
      </c>
      <c r="H641" s="104">
        <f>J588</f>
        <v>405219.6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0</v>
      </c>
      <c r="H650" s="19">
        <f>(L239+L320+L352)</f>
        <v>12193690.100000003</v>
      </c>
      <c r="I650" s="19">
        <f>SUM(F650:H650)</f>
        <v>12193690.100000003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242840.81</v>
      </c>
      <c r="I651" s="19">
        <f>SUM(F651:H651)</f>
        <v>242840.81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406090.6</v>
      </c>
      <c r="I652" s="19">
        <f>SUM(F652:H652)</f>
        <v>406090.6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0</v>
      </c>
      <c r="H653" s="200">
        <f>SUM(H565:H577)+SUM(J592:J594)+L603</f>
        <v>734748.86</v>
      </c>
      <c r="I653" s="19">
        <f>SUM(F653:H653)</f>
        <v>734748.86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10810009.830000004</v>
      </c>
      <c r="I654" s="19">
        <f>I650-SUM(I651:I653)</f>
        <v>10810009.830000004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>
        <v>727.23</v>
      </c>
      <c r="I655" s="19">
        <f>SUM(F655:H655)</f>
        <v>727.23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>
        <f>ROUND(H654/H655,2)</f>
        <v>14864.64</v>
      </c>
      <c r="I657" s="19">
        <f>ROUND(I654/I655,2)</f>
        <v>14864.64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8.61</v>
      </c>
      <c r="I660" s="19">
        <f>SUM(F660:H660)</f>
        <v>8.61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>
        <f>ROUND((H654+H659)/(H655+H660),2)</f>
        <v>14690.71</v>
      </c>
      <c r="I662" s="19">
        <f>ROUND((I654+I659)/(I655+I660),2)</f>
        <v>14690.71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696C-D65C-414A-B64D-1B7830463DC8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PEMI-BAKER REGIONAL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3265833.13</v>
      </c>
      <c r="C9" s="230">
        <f>'DOE25'!G189+'DOE25'!G207+'DOE25'!G225+'DOE25'!G268+'DOE25'!G287+'DOE25'!G306</f>
        <v>1233825.78</v>
      </c>
    </row>
    <row r="10" spans="1:3" x14ac:dyDescent="0.2">
      <c r="A10" t="s">
        <v>813</v>
      </c>
      <c r="B10" s="241">
        <v>3146733.36</v>
      </c>
      <c r="C10" s="241">
        <v>1177483.51</v>
      </c>
    </row>
    <row r="11" spans="1:3" x14ac:dyDescent="0.2">
      <c r="A11" t="s">
        <v>814</v>
      </c>
      <c r="B11" s="241">
        <v>102973.34</v>
      </c>
      <c r="C11" s="241">
        <v>54711.7</v>
      </c>
    </row>
    <row r="12" spans="1:3" x14ac:dyDescent="0.2">
      <c r="A12" t="s">
        <v>815</v>
      </c>
      <c r="B12" s="241">
        <v>16126.43</v>
      </c>
      <c r="C12" s="241">
        <v>1630.57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3265833.13</v>
      </c>
      <c r="C13" s="232">
        <f>SUM(C10:C12)</f>
        <v>1233825.78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828351.51</v>
      </c>
      <c r="C18" s="230">
        <f>'DOE25'!G190+'DOE25'!G208+'DOE25'!G226+'DOE25'!G269+'DOE25'!G288+'DOE25'!G307</f>
        <v>375346.37</v>
      </c>
    </row>
    <row r="19" spans="1:3" x14ac:dyDescent="0.2">
      <c r="A19" t="s">
        <v>813</v>
      </c>
      <c r="B19" s="241">
        <v>468910.24</v>
      </c>
      <c r="C19" s="241">
        <v>188969.55</v>
      </c>
    </row>
    <row r="20" spans="1:3" x14ac:dyDescent="0.2">
      <c r="A20" t="s">
        <v>814</v>
      </c>
      <c r="B20" s="241">
        <v>308335.38</v>
      </c>
      <c r="C20" s="241">
        <v>160654.06</v>
      </c>
    </row>
    <row r="21" spans="1:3" x14ac:dyDescent="0.2">
      <c r="A21" t="s">
        <v>815</v>
      </c>
      <c r="B21" s="241">
        <v>51105.89</v>
      </c>
      <c r="C21" s="241">
        <v>25722.76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828351.51</v>
      </c>
      <c r="C22" s="232">
        <f>SUM(C19:C21)</f>
        <v>375346.37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307773.7</v>
      </c>
      <c r="C27" s="235">
        <f>'DOE25'!G191+'DOE25'!G209+'DOE25'!G227+'DOE25'!G270+'DOE25'!G289+'DOE25'!G308</f>
        <v>126569.19</v>
      </c>
    </row>
    <row r="28" spans="1:3" x14ac:dyDescent="0.2">
      <c r="A28" t="s">
        <v>813</v>
      </c>
      <c r="B28" s="241">
        <v>307773.7</v>
      </c>
      <c r="C28" s="241">
        <v>126569.19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307773.7</v>
      </c>
      <c r="C31" s="232">
        <f>SUM(C28:C30)</f>
        <v>126569.19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236042.67</v>
      </c>
      <c r="C36" s="236">
        <f>'DOE25'!G192+'DOE25'!G210+'DOE25'!G228+'DOE25'!G271+'DOE25'!G290+'DOE25'!G309</f>
        <v>32037.77</v>
      </c>
    </row>
    <row r="37" spans="1:3" x14ac:dyDescent="0.2">
      <c r="A37" t="s">
        <v>813</v>
      </c>
      <c r="B37" s="241">
        <v>236042.67</v>
      </c>
      <c r="C37" s="241">
        <v>32037.77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236042.67</v>
      </c>
      <c r="C40" s="232">
        <f>SUM(C37:C39)</f>
        <v>32037.77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106E-0E71-443F-A7CB-F8BE102F5D17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PEMI-BAKER REGIONAL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7355908.2600000007</v>
      </c>
      <c r="D5" s="20">
        <f>SUM('DOE25'!L189:L192)+SUM('DOE25'!L207:L210)+SUM('DOE25'!L225:L228)-F5-G5</f>
        <v>7184753.3200000003</v>
      </c>
      <c r="E5" s="244"/>
      <c r="F5" s="256">
        <f>SUM('DOE25'!J189:J192)+SUM('DOE25'!J207:J210)+SUM('DOE25'!J225:J228)</f>
        <v>161505.94</v>
      </c>
      <c r="G5" s="53">
        <f>SUM('DOE25'!K189:K192)+SUM('DOE25'!K207:K210)+SUM('DOE25'!K225:K228)</f>
        <v>9649</v>
      </c>
      <c r="H5" s="260"/>
    </row>
    <row r="6" spans="1:9" x14ac:dyDescent="0.2">
      <c r="A6" s="32">
        <v>2100</v>
      </c>
      <c r="B6" t="s">
        <v>835</v>
      </c>
      <c r="C6" s="246">
        <f t="shared" si="0"/>
        <v>774444.69000000006</v>
      </c>
      <c r="D6" s="20">
        <f>'DOE25'!L194+'DOE25'!L212+'DOE25'!L230-F6-G6</f>
        <v>772239.69000000006</v>
      </c>
      <c r="E6" s="244"/>
      <c r="F6" s="256">
        <f>'DOE25'!J194+'DOE25'!J212+'DOE25'!J230</f>
        <v>0</v>
      </c>
      <c r="G6" s="53">
        <f>'DOE25'!K194+'DOE25'!K212+'DOE25'!K230</f>
        <v>2205</v>
      </c>
      <c r="H6" s="260"/>
    </row>
    <row r="7" spans="1:9" x14ac:dyDescent="0.2">
      <c r="A7" s="32">
        <v>2200</v>
      </c>
      <c r="B7" t="s">
        <v>868</v>
      </c>
      <c r="C7" s="246">
        <f t="shared" si="0"/>
        <v>384170.3</v>
      </c>
      <c r="D7" s="20">
        <f>'DOE25'!L195+'DOE25'!L213+'DOE25'!L231-F7-G7</f>
        <v>380317.69</v>
      </c>
      <c r="E7" s="244"/>
      <c r="F7" s="256">
        <f>'DOE25'!J195+'DOE25'!J213+'DOE25'!J231</f>
        <v>3852.61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582366.51000000013</v>
      </c>
      <c r="D8" s="244"/>
      <c r="E8" s="20">
        <f>'DOE25'!L196+'DOE25'!L214+'DOE25'!L232-F8-G8-D9-D11</f>
        <v>577178.6100000001</v>
      </c>
      <c r="F8" s="256">
        <f>'DOE25'!J196+'DOE25'!J214+'DOE25'!J232</f>
        <v>0</v>
      </c>
      <c r="G8" s="53">
        <f>'DOE25'!K196+'DOE25'!K214+'DOE25'!K232</f>
        <v>5187.8999999999996</v>
      </c>
      <c r="H8" s="260"/>
    </row>
    <row r="9" spans="1:9" x14ac:dyDescent="0.2">
      <c r="A9" s="32">
        <v>2310</v>
      </c>
      <c r="B9" t="s">
        <v>852</v>
      </c>
      <c r="C9" s="246">
        <f t="shared" si="0"/>
        <v>54238.84</v>
      </c>
      <c r="D9" s="245">
        <v>54238.84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6300</v>
      </c>
      <c r="D10" s="244"/>
      <c r="E10" s="245">
        <v>6300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77172.38</v>
      </c>
      <c r="D11" s="245">
        <v>77172.38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574458.96000000008</v>
      </c>
      <c r="D12" s="20">
        <f>'DOE25'!L197+'DOE25'!L215+'DOE25'!L233-F12-G12</f>
        <v>559774.15</v>
      </c>
      <c r="E12" s="244"/>
      <c r="F12" s="256">
        <f>'DOE25'!J197+'DOE25'!J215+'DOE25'!J233</f>
        <v>0</v>
      </c>
      <c r="G12" s="53">
        <f>'DOE25'!K197+'DOE25'!K215+'DOE25'!K233</f>
        <v>14684.81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2896.99</v>
      </c>
      <c r="D13" s="244"/>
      <c r="E13" s="20">
        <f>'DOE25'!L198+'DOE25'!L216+'DOE25'!L234-F13-G13</f>
        <v>2896.99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1362104.65</v>
      </c>
      <c r="D14" s="20">
        <f>'DOE25'!L199+'DOE25'!L217+'DOE25'!L235-F14-G14</f>
        <v>1313636.3999999999</v>
      </c>
      <c r="E14" s="244"/>
      <c r="F14" s="256">
        <f>'DOE25'!J199+'DOE25'!J217+'DOE25'!J235</f>
        <v>48468.25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405219.6</v>
      </c>
      <c r="D15" s="20">
        <f>'DOE25'!L200+'DOE25'!L218+'DOE25'!L236-F15-G15</f>
        <v>405219.6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285133.48</v>
      </c>
      <c r="D22" s="244"/>
      <c r="E22" s="244"/>
      <c r="F22" s="256">
        <f>'DOE25'!L247+'DOE25'!L328</f>
        <v>285133.48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355843.6</v>
      </c>
      <c r="D29" s="20">
        <f>'DOE25'!L350+'DOE25'!L351+'DOE25'!L352-'DOE25'!I359-F29-G29</f>
        <v>355843.6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264865.31999999995</v>
      </c>
      <c r="D31" s="20">
        <f>'DOE25'!L282+'DOE25'!L301+'DOE25'!L320+'DOE25'!L325+'DOE25'!L326+'DOE25'!L327-F31-G31</f>
        <v>214523.30999999994</v>
      </c>
      <c r="E31" s="244"/>
      <c r="F31" s="256">
        <f>'DOE25'!J282+'DOE25'!J301+'DOE25'!J320+'DOE25'!J325+'DOE25'!J326+'DOE25'!J327</f>
        <v>37798.6</v>
      </c>
      <c r="G31" s="53">
        <f>'DOE25'!K282+'DOE25'!K301+'DOE25'!K320+'DOE25'!K325+'DOE25'!K326+'DOE25'!K327</f>
        <v>12543.41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11317718.980000002</v>
      </c>
      <c r="E33" s="247">
        <f>SUM(E5:E31)</f>
        <v>586375.60000000009</v>
      </c>
      <c r="F33" s="247">
        <f>SUM(F5:F31)</f>
        <v>536758.88</v>
      </c>
      <c r="G33" s="247">
        <f>SUM(G5:G31)</f>
        <v>44270.119999999995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586375.60000000009</v>
      </c>
      <c r="E35" s="250"/>
    </row>
    <row r="36" spans="2:8" ht="12" thickTop="1" x14ac:dyDescent="0.2">
      <c r="B36" t="s">
        <v>849</v>
      </c>
      <c r="D36" s="20">
        <f>D33</f>
        <v>11317718.980000002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CA39-59CD-4353-B908-5910E575218B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PEMI-BAKER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1213892.78</v>
      </c>
      <c r="D9" s="95">
        <f>'DOE25'!G9</f>
        <v>-62387.4</v>
      </c>
      <c r="E9" s="95">
        <f>'DOE25'!H9</f>
        <v>-7534.82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3300.33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249484.04</v>
      </c>
      <c r="D13" s="95">
        <f>'DOE25'!G13</f>
        <v>28186.75</v>
      </c>
      <c r="E13" s="95">
        <f>'DOE25'!H13</f>
        <v>34343.61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13884.48</v>
      </c>
      <c r="D14" s="95">
        <f>'DOE25'!G14</f>
        <v>37234.1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1477261.3</v>
      </c>
      <c r="D19" s="41">
        <f>SUM(D9:D18)</f>
        <v>3033.4499999999971</v>
      </c>
      <c r="E19" s="41">
        <f>SUM(E9:E18)</f>
        <v>26808.79</v>
      </c>
      <c r="F19" s="41">
        <f>SUM(F9:F18)</f>
        <v>0</v>
      </c>
      <c r="G19" s="41">
        <f>SUM(G9:G18)</f>
        <v>3300.33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402366.91</v>
      </c>
      <c r="D24" s="95">
        <f>'DOE25'!G25</f>
        <v>0</v>
      </c>
      <c r="E24" s="95">
        <f>'DOE25'!H25</f>
        <v>9908.4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65000</v>
      </c>
      <c r="D30" s="95">
        <f>'DOE25'!G31</f>
        <v>0</v>
      </c>
      <c r="E30" s="95">
        <f>'DOE25'!H31</f>
        <v>16900.39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467366.91</v>
      </c>
      <c r="D32" s="41">
        <f>SUM(D22:D31)</f>
        <v>0</v>
      </c>
      <c r="E32" s="41">
        <f>SUM(E22:E31)</f>
        <v>26808.79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864094.57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3033.45</v>
      </c>
      <c r="E40" s="95">
        <f>'DOE25'!H41</f>
        <v>0</v>
      </c>
      <c r="F40" s="95">
        <f>'DOE25'!I41</f>
        <v>0</v>
      </c>
      <c r="G40" s="95">
        <f>'DOE25'!J41</f>
        <v>3300.33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145799.82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1009894.3899999999</v>
      </c>
      <c r="D42" s="41">
        <f>SUM(D34:D41)</f>
        <v>3033.45</v>
      </c>
      <c r="E42" s="41">
        <f>SUM(E34:E41)</f>
        <v>0</v>
      </c>
      <c r="F42" s="41">
        <f>SUM(F34:F41)</f>
        <v>0</v>
      </c>
      <c r="G42" s="41">
        <f>SUM(G34:G41)</f>
        <v>3300.33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1477261.2999999998</v>
      </c>
      <c r="D43" s="41">
        <f>D42+D32</f>
        <v>3033.45</v>
      </c>
      <c r="E43" s="41">
        <f>E42+E32</f>
        <v>26808.79</v>
      </c>
      <c r="F43" s="41">
        <f>F42+F32</f>
        <v>0</v>
      </c>
      <c r="G43" s="41">
        <f>G42+G32</f>
        <v>3300.33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6361689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220912.71999999997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5839.65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7.44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242840.81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280470.55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507222.91999999993</v>
      </c>
      <c r="D54" s="130">
        <f>SUM(D49:D53)</f>
        <v>242840.81</v>
      </c>
      <c r="E54" s="130">
        <f>SUM(E49:E53)</f>
        <v>0</v>
      </c>
      <c r="F54" s="130">
        <f>SUM(F49:F53)</f>
        <v>0</v>
      </c>
      <c r="G54" s="130">
        <f>SUM(G49:G53)</f>
        <v>7.44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6868911.9199999999</v>
      </c>
      <c r="D55" s="22">
        <f>D48+D54</f>
        <v>242840.81</v>
      </c>
      <c r="E55" s="22">
        <f>E48+E54</f>
        <v>0</v>
      </c>
      <c r="F55" s="22">
        <f>F48+F54</f>
        <v>0</v>
      </c>
      <c r="G55" s="22">
        <f>G48+G54</f>
        <v>7.44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2029067.61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2047650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778489.39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4855207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89220.52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45944.37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3013.24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135164.89000000001</v>
      </c>
      <c r="D70" s="130">
        <f>SUM(D64:D69)</f>
        <v>3013.24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4990371.8899999997</v>
      </c>
      <c r="D73" s="130">
        <f>SUM(D71:D72)+D70+D62</f>
        <v>3013.24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37162.33</v>
      </c>
      <c r="D80" s="95">
        <f>SUM('DOE25'!G145:G153)</f>
        <v>113023</v>
      </c>
      <c r="E80" s="95">
        <f>SUM('DOE25'!H145:H153)</f>
        <v>264865.32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37162.33</v>
      </c>
      <c r="D83" s="131">
        <f>SUM(D77:D82)</f>
        <v>113023</v>
      </c>
      <c r="E83" s="131">
        <f>SUM(E77:E82)</f>
        <v>264865.32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11896446.139999999</v>
      </c>
      <c r="D96" s="86">
        <f>D55+D73+D83+D95</f>
        <v>358877.05</v>
      </c>
      <c r="E96" s="86">
        <f>E55+E73+E83+E95</f>
        <v>264865.32</v>
      </c>
      <c r="F96" s="86">
        <f>F55+F73+F83+F95</f>
        <v>0</v>
      </c>
      <c r="G96" s="86">
        <f>G55+G73+G95</f>
        <v>7.44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4808149.6300000008</v>
      </c>
      <c r="D101" s="24" t="s">
        <v>312</v>
      </c>
      <c r="E101" s="95">
        <f>('DOE25'!L268)+('DOE25'!L287)+('DOE25'!L306)</f>
        <v>60867.19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1637560.2100000002</v>
      </c>
      <c r="D102" s="24" t="s">
        <v>312</v>
      </c>
      <c r="E102" s="95">
        <f>('DOE25'!L269)+('DOE25'!L288)+('DOE25'!L307)</f>
        <v>89739.17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440519.20999999996</v>
      </c>
      <c r="D103" s="24" t="s">
        <v>312</v>
      </c>
      <c r="E103" s="95">
        <f>('DOE25'!L270)+('DOE25'!L289)+('DOE25'!L308)</f>
        <v>71931.92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469679.21</v>
      </c>
      <c r="D104" s="24" t="s">
        <v>312</v>
      </c>
      <c r="E104" s="95">
        <f>+('DOE25'!L271)+('DOE25'!L290)+('DOE25'!L309)</f>
        <v>14994.21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7355908.2600000007</v>
      </c>
      <c r="D107" s="86">
        <f>SUM(D101:D106)</f>
        <v>0</v>
      </c>
      <c r="E107" s="86">
        <f>SUM(E101:E106)</f>
        <v>237532.48999999996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774444.69000000006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384170.3</v>
      </c>
      <c r="D111" s="24" t="s">
        <v>312</v>
      </c>
      <c r="E111" s="95">
        <f>+('DOE25'!L274)+('DOE25'!L293)+('DOE25'!L312)</f>
        <v>10995.25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713777.7300000001</v>
      </c>
      <c r="D112" s="24" t="s">
        <v>312</v>
      </c>
      <c r="E112" s="95">
        <f>+('DOE25'!L275)+('DOE25'!L294)+('DOE25'!L313)</f>
        <v>6134.9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574458.96000000008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2896.99</v>
      </c>
      <c r="D114" s="24" t="s">
        <v>312</v>
      </c>
      <c r="E114" s="95">
        <f>+('DOE25'!L277)+('DOE25'!L296)+('DOE25'!L315)</f>
        <v>9331.68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1362104.65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405219.6</v>
      </c>
      <c r="D116" s="24" t="s">
        <v>312</v>
      </c>
      <c r="E116" s="95">
        <f>+('DOE25'!L279)+('DOE25'!L298)+('DOE25'!L317)</f>
        <v>871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355843.6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4217072.92</v>
      </c>
      <c r="D120" s="86">
        <f>SUM(D110:D119)</f>
        <v>355843.6</v>
      </c>
      <c r="E120" s="86">
        <f>SUM(E110:E119)</f>
        <v>27332.83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285133.48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3.72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3.72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-7.44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285133.47999999992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11858114.66</v>
      </c>
      <c r="D137" s="86">
        <f>(D107+D120+D136)</f>
        <v>355843.6</v>
      </c>
      <c r="E137" s="86">
        <f>(E107+E120+E136)</f>
        <v>264865.31999999995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A5C7-F7E5-46C4-8E7D-FB30D620A0A6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PEMI-BAKER REGIONAL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14691</v>
      </c>
    </row>
    <row r="7" spans="1:4" x14ac:dyDescent="0.2">
      <c r="B7" t="s">
        <v>736</v>
      </c>
      <c r="C7" s="179">
        <f>IF('DOE25'!I655+'DOE25'!I660=0,0,ROUND('DOE25'!I662,0))</f>
        <v>14691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4869017</v>
      </c>
      <c r="D10" s="182">
        <f>ROUND((C10/$C$28)*100,1)</f>
        <v>40.700000000000003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1727299</v>
      </c>
      <c r="D11" s="182">
        <f>ROUND((C11/$C$28)*100,1)</f>
        <v>14.5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512451</v>
      </c>
      <c r="D12" s="182">
        <f>ROUND((C12/$C$28)*100,1)</f>
        <v>4.3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484673</v>
      </c>
      <c r="D13" s="182">
        <f>ROUND((C13/$C$28)*100,1)</f>
        <v>4.0999999999999996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774445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395166</v>
      </c>
      <c r="D16" s="182">
        <f t="shared" si="0"/>
        <v>3.3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719913</v>
      </c>
      <c r="D17" s="182">
        <f t="shared" si="0"/>
        <v>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574459</v>
      </c>
      <c r="D18" s="182">
        <f t="shared" si="0"/>
        <v>4.8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12229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1362105</v>
      </c>
      <c r="D20" s="182">
        <f t="shared" si="0"/>
        <v>11.4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406091</v>
      </c>
      <c r="D21" s="182">
        <f t="shared" si="0"/>
        <v>3.4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113003.19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11950851.189999999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285133</v>
      </c>
    </row>
    <row r="30" spans="1:4" x14ac:dyDescent="0.2">
      <c r="B30" s="187" t="s">
        <v>760</v>
      </c>
      <c r="C30" s="180">
        <f>SUM(C28:C29)</f>
        <v>12235984.189999999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6361689</v>
      </c>
      <c r="D35" s="182">
        <f t="shared" ref="D35:D40" si="1">ROUND((C35/$C$41)*100,1)</f>
        <v>51.8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507230.36000000034</v>
      </c>
      <c r="D36" s="182">
        <f t="shared" si="1"/>
        <v>4.0999999999999996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4076718</v>
      </c>
      <c r="D37" s="182">
        <f t="shared" si="1"/>
        <v>33.200000000000003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916668</v>
      </c>
      <c r="D38" s="182">
        <f t="shared" si="1"/>
        <v>7.5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415051</v>
      </c>
      <c r="D39" s="182">
        <f t="shared" si="1"/>
        <v>3.4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12277356.359999999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4D86-ECCE-4E44-B952-B6ECB8A1BEE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PEMI-BAKER REGIONAL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2010-09-24T14:19:52Z</cp:lastPrinted>
  <dcterms:created xsi:type="dcterms:W3CDTF">1997-12-04T19:04:30Z</dcterms:created>
  <dcterms:modified xsi:type="dcterms:W3CDTF">2025-01-09T20:06:48Z</dcterms:modified>
</cp:coreProperties>
</file>