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D74727D6-3557-4270-9322-22BAE0AE5EFB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9914E3D8-6CDE-4083-9B22-B6500E8CC7E8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5" i="1" l="1"/>
  <c r="H594" i="1"/>
  <c r="H232" i="1"/>
  <c r="L232" i="1" s="1"/>
  <c r="G462" i="1"/>
  <c r="F462" i="1"/>
  <c r="H350" i="1"/>
  <c r="H199" i="1"/>
  <c r="H196" i="1"/>
  <c r="H194" i="1"/>
  <c r="G489" i="1"/>
  <c r="G490" i="1" s="1"/>
  <c r="C153" i="2" s="1"/>
  <c r="G488" i="1"/>
  <c r="F489" i="1"/>
  <c r="F490" i="1" s="1"/>
  <c r="F488" i="1"/>
  <c r="J458" i="1"/>
  <c r="J462" i="1"/>
  <c r="G449" i="1"/>
  <c r="F449" i="1"/>
  <c r="G432" i="1"/>
  <c r="K418" i="1"/>
  <c r="I392" i="1"/>
  <c r="H146" i="1"/>
  <c r="F30" i="1"/>
  <c r="F9" i="1"/>
  <c r="F19" i="1" s="1"/>
  <c r="G607" i="1" s="1"/>
  <c r="C60" i="2"/>
  <c r="B2" i="13"/>
  <c r="F8" i="13"/>
  <c r="G8" i="13"/>
  <c r="L196" i="1"/>
  <c r="E8" i="13" s="1"/>
  <c r="L214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L189" i="1"/>
  <c r="L190" i="1"/>
  <c r="L191" i="1"/>
  <c r="L192" i="1"/>
  <c r="L207" i="1"/>
  <c r="L208" i="1"/>
  <c r="L209" i="1"/>
  <c r="L210" i="1"/>
  <c r="L225" i="1"/>
  <c r="L239" i="1" s="1"/>
  <c r="L226" i="1"/>
  <c r="L227" i="1"/>
  <c r="C103" i="2" s="1"/>
  <c r="L228" i="1"/>
  <c r="F6" i="13"/>
  <c r="G6" i="13"/>
  <c r="G33" i="13" s="1"/>
  <c r="L194" i="1"/>
  <c r="C15" i="10" s="1"/>
  <c r="L212" i="1"/>
  <c r="L230" i="1"/>
  <c r="F7" i="13"/>
  <c r="G7" i="13"/>
  <c r="L195" i="1"/>
  <c r="D7" i="13" s="1"/>
  <c r="C7" i="13" s="1"/>
  <c r="L213" i="1"/>
  <c r="C111" i="2" s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C21" i="10" s="1"/>
  <c r="L218" i="1"/>
  <c r="L236" i="1"/>
  <c r="F17" i="13"/>
  <c r="G17" i="13"/>
  <c r="L243" i="1"/>
  <c r="D17" i="13"/>
  <c r="C17" i="13" s="1"/>
  <c r="F18" i="13"/>
  <c r="G18" i="13"/>
  <c r="L244" i="1"/>
  <c r="D18" i="13"/>
  <c r="C18" i="13" s="1"/>
  <c r="F19" i="13"/>
  <c r="D19" i="13" s="1"/>
  <c r="C19" i="13" s="1"/>
  <c r="G19" i="13"/>
  <c r="L245" i="1"/>
  <c r="F29" i="13"/>
  <c r="G29" i="13"/>
  <c r="L350" i="1"/>
  <c r="D29" i="13" s="1"/>
  <c r="C29" i="13" s="1"/>
  <c r="L351" i="1"/>
  <c r="L354" i="1" s="1"/>
  <c r="L352" i="1"/>
  <c r="I359" i="1"/>
  <c r="J282" i="1"/>
  <c r="F31" i="13" s="1"/>
  <c r="J301" i="1"/>
  <c r="J320" i="1"/>
  <c r="K282" i="1"/>
  <c r="K301" i="1"/>
  <c r="K320" i="1"/>
  <c r="G31" i="13" s="1"/>
  <c r="L268" i="1"/>
  <c r="E101" i="2" s="1"/>
  <c r="E107" i="2" s="1"/>
  <c r="L269" i="1"/>
  <c r="L270" i="1"/>
  <c r="L271" i="1"/>
  <c r="L273" i="1"/>
  <c r="L274" i="1"/>
  <c r="L275" i="1"/>
  <c r="L276" i="1"/>
  <c r="L277" i="1"/>
  <c r="L278" i="1"/>
  <c r="L279" i="1"/>
  <c r="E116" i="2" s="1"/>
  <c r="L280" i="1"/>
  <c r="L282" i="1"/>
  <c r="L287" i="1"/>
  <c r="L288" i="1"/>
  <c r="L289" i="1"/>
  <c r="L301" i="1" s="1"/>
  <c r="L330" i="1" s="1"/>
  <c r="L290" i="1"/>
  <c r="L292" i="1"/>
  <c r="L293" i="1"/>
  <c r="L294" i="1"/>
  <c r="L295" i="1"/>
  <c r="L296" i="1"/>
  <c r="L297" i="1"/>
  <c r="E115" i="2" s="1"/>
  <c r="L298" i="1"/>
  <c r="L299" i="1"/>
  <c r="E117" i="2" s="1"/>
  <c r="L306" i="1"/>
  <c r="L307" i="1"/>
  <c r="L320" i="1" s="1"/>
  <c r="L308" i="1"/>
  <c r="L309" i="1"/>
  <c r="L311" i="1"/>
  <c r="L312" i="1"/>
  <c r="L313" i="1"/>
  <c r="L314" i="1"/>
  <c r="L315" i="1"/>
  <c r="E114" i="2" s="1"/>
  <c r="L316" i="1"/>
  <c r="L317" i="1"/>
  <c r="H652" i="1" s="1"/>
  <c r="L318" i="1"/>
  <c r="L325" i="1"/>
  <c r="L326" i="1"/>
  <c r="L327" i="1"/>
  <c r="L252" i="1"/>
  <c r="H25" i="13" s="1"/>
  <c r="L253" i="1"/>
  <c r="C124" i="2" s="1"/>
  <c r="L333" i="1"/>
  <c r="E123" i="2" s="1"/>
  <c r="L334" i="1"/>
  <c r="L247" i="1"/>
  <c r="C29" i="10" s="1"/>
  <c r="L328" i="1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 s="1"/>
  <c r="C132" i="2" s="1"/>
  <c r="L258" i="1"/>
  <c r="J52" i="1"/>
  <c r="G48" i="2"/>
  <c r="G51" i="2"/>
  <c r="G54" i="2" s="1"/>
  <c r="G53" i="2"/>
  <c r="F2" i="11"/>
  <c r="L603" i="1"/>
  <c r="H653" i="1" s="1"/>
  <c r="L602" i="1"/>
  <c r="G653" i="1" s="1"/>
  <c r="I653" i="1" s="1"/>
  <c r="L601" i="1"/>
  <c r="F653" i="1"/>
  <c r="C40" i="10"/>
  <c r="F52" i="1"/>
  <c r="F104" i="1" s="1"/>
  <c r="G52" i="1"/>
  <c r="D48" i="2" s="1"/>
  <c r="H52" i="1"/>
  <c r="I52" i="1"/>
  <c r="F71" i="1"/>
  <c r="C49" i="2" s="1"/>
  <c r="C54" i="2" s="1"/>
  <c r="F86" i="1"/>
  <c r="F103" i="1"/>
  <c r="G103" i="1"/>
  <c r="H71" i="1"/>
  <c r="H104" i="1" s="1"/>
  <c r="H86" i="1"/>
  <c r="E50" i="2" s="1"/>
  <c r="H103" i="1"/>
  <c r="I103" i="1"/>
  <c r="I104" i="1"/>
  <c r="J103" i="1"/>
  <c r="J104" i="1" s="1"/>
  <c r="C37" i="10"/>
  <c r="F113" i="1"/>
  <c r="F128" i="1"/>
  <c r="F132" i="1"/>
  <c r="G113" i="1"/>
  <c r="G132" i="1" s="1"/>
  <c r="C38" i="10" s="1"/>
  <c r="G128" i="1"/>
  <c r="H113" i="1"/>
  <c r="H128" i="1"/>
  <c r="H132" i="1"/>
  <c r="I113" i="1"/>
  <c r="I132" i="1" s="1"/>
  <c r="I185" i="1" s="1"/>
  <c r="G620" i="1" s="1"/>
  <c r="J620" i="1" s="1"/>
  <c r="I128" i="1"/>
  <c r="J113" i="1"/>
  <c r="J128" i="1"/>
  <c r="J132" i="1"/>
  <c r="F139" i="1"/>
  <c r="F161" i="1" s="1"/>
  <c r="F154" i="1"/>
  <c r="G139" i="1"/>
  <c r="G154" i="1"/>
  <c r="G161" i="1" s="1"/>
  <c r="H139" i="1"/>
  <c r="I139" i="1"/>
  <c r="I154" i="1"/>
  <c r="I161" i="1"/>
  <c r="C11" i="10"/>
  <c r="C13" i="10"/>
  <c r="C18" i="10"/>
  <c r="C20" i="10"/>
  <c r="L242" i="1"/>
  <c r="L324" i="1"/>
  <c r="C23" i="10"/>
  <c r="L246" i="1"/>
  <c r="C116" i="2" s="1"/>
  <c r="L260" i="1"/>
  <c r="L261" i="1"/>
  <c r="L341" i="1"/>
  <c r="E134" i="2" s="1"/>
  <c r="L342" i="1"/>
  <c r="C26" i="10"/>
  <c r="I655" i="1"/>
  <c r="I660" i="1"/>
  <c r="G652" i="1"/>
  <c r="I659" i="1"/>
  <c r="C6" i="10"/>
  <c r="C5" i="10"/>
  <c r="C42" i="10"/>
  <c r="L366" i="1"/>
  <c r="L367" i="1"/>
  <c r="L368" i="1"/>
  <c r="L369" i="1"/>
  <c r="L370" i="1"/>
  <c r="F122" i="2" s="1"/>
  <c r="F136" i="2" s="1"/>
  <c r="L371" i="1"/>
  <c r="L372" i="1"/>
  <c r="B2" i="10"/>
  <c r="L336" i="1"/>
  <c r="L337" i="1"/>
  <c r="E127" i="2" s="1"/>
  <c r="L338" i="1"/>
  <c r="L339" i="1"/>
  <c r="K343" i="1"/>
  <c r="L511" i="1"/>
  <c r="F539" i="1"/>
  <c r="K539" i="1" s="1"/>
  <c r="L512" i="1"/>
  <c r="F540" i="1"/>
  <c r="K540" i="1" s="1"/>
  <c r="L513" i="1"/>
  <c r="F541" i="1" s="1"/>
  <c r="L516" i="1"/>
  <c r="G539" i="1"/>
  <c r="G542" i="1" s="1"/>
  <c r="L517" i="1"/>
  <c r="G540" i="1"/>
  <c r="L518" i="1"/>
  <c r="G541" i="1"/>
  <c r="L521" i="1"/>
  <c r="H539" i="1"/>
  <c r="L522" i="1"/>
  <c r="H540" i="1" s="1"/>
  <c r="H542" i="1" s="1"/>
  <c r="L523" i="1"/>
  <c r="H541" i="1"/>
  <c r="L526" i="1"/>
  <c r="I539" i="1"/>
  <c r="I542" i="1" s="1"/>
  <c r="L527" i="1"/>
  <c r="I540" i="1"/>
  <c r="L528" i="1"/>
  <c r="I541" i="1"/>
  <c r="L531" i="1"/>
  <c r="J539" i="1" s="1"/>
  <c r="L532" i="1"/>
  <c r="J540" i="1"/>
  <c r="L533" i="1"/>
  <c r="L534" i="1" s="1"/>
  <c r="E124" i="2"/>
  <c r="K262" i="1"/>
  <c r="J262" i="1"/>
  <c r="I262" i="1"/>
  <c r="H262" i="1"/>
  <c r="G262" i="1"/>
  <c r="F262" i="1"/>
  <c r="L262" i="1" s="1"/>
  <c r="A1" i="2"/>
  <c r="A2" i="2"/>
  <c r="D9" i="2"/>
  <c r="D19" i="2" s="1"/>
  <c r="E9" i="2"/>
  <c r="E19" i="2" s="1"/>
  <c r="F9" i="2"/>
  <c r="I431" i="1"/>
  <c r="J9" i="1"/>
  <c r="C10" i="2"/>
  <c r="D10" i="2"/>
  <c r="E10" i="2"/>
  <c r="F10" i="2"/>
  <c r="I432" i="1"/>
  <c r="J10" i="1"/>
  <c r="G10" i="2" s="1"/>
  <c r="C11" i="2"/>
  <c r="C12" i="2"/>
  <c r="D12" i="2"/>
  <c r="E12" i="2"/>
  <c r="F12" i="2"/>
  <c r="I433" i="1"/>
  <c r="J12" i="1" s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/>
  <c r="G14" i="2"/>
  <c r="F15" i="2"/>
  <c r="F19" i="2" s="1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 s="1"/>
  <c r="C22" i="2"/>
  <c r="D22" i="2"/>
  <c r="E22" i="2"/>
  <c r="F22" i="2"/>
  <c r="I440" i="1"/>
  <c r="J23" i="1"/>
  <c r="G22" i="2" s="1"/>
  <c r="C23" i="2"/>
  <c r="C32" i="2" s="1"/>
  <c r="D23" i="2"/>
  <c r="E23" i="2"/>
  <c r="F23" i="2"/>
  <c r="F32" i="2" s="1"/>
  <c r="F43" i="2" s="1"/>
  <c r="I441" i="1"/>
  <c r="I444" i="1" s="1"/>
  <c r="J24" i="1"/>
  <c r="G23" i="2" s="1"/>
  <c r="C24" i="2"/>
  <c r="D24" i="2"/>
  <c r="E24" i="2"/>
  <c r="E32" i="2" s="1"/>
  <c r="F24" i="2"/>
  <c r="I442" i="1"/>
  <c r="J25" i="1"/>
  <c r="G24" i="2" s="1"/>
  <c r="C25" i="2"/>
  <c r="D25" i="2"/>
  <c r="D32" i="2" s="1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C43" i="2" s="1"/>
  <c r="D34" i="2"/>
  <c r="E34" i="2"/>
  <c r="E42" i="2" s="1"/>
  <c r="F34" i="2"/>
  <c r="C35" i="2"/>
  <c r="D35" i="2"/>
  <c r="E35" i="2"/>
  <c r="F35" i="2"/>
  <c r="C36" i="2"/>
  <c r="D36" i="2"/>
  <c r="E36" i="2"/>
  <c r="F36" i="2"/>
  <c r="I446" i="1"/>
  <c r="J37" i="1" s="1"/>
  <c r="C37" i="2"/>
  <c r="D37" i="2"/>
  <c r="E37" i="2"/>
  <c r="F37" i="2"/>
  <c r="I447" i="1"/>
  <c r="J38" i="1" s="1"/>
  <c r="G37" i="2" s="1"/>
  <c r="C38" i="2"/>
  <c r="D38" i="2"/>
  <c r="D42" i="2" s="1"/>
  <c r="E38" i="2"/>
  <c r="F38" i="2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F42" i="2"/>
  <c r="C48" i="2"/>
  <c r="E48" i="2"/>
  <c r="F48" i="2"/>
  <c r="E49" i="2"/>
  <c r="E54" i="2" s="1"/>
  <c r="E55" i="2" s="1"/>
  <c r="C50" i="2"/>
  <c r="C51" i="2"/>
  <c r="D51" i="2"/>
  <c r="D54" i="2" s="1"/>
  <c r="E51" i="2"/>
  <c r="F51" i="2"/>
  <c r="F54" i="2" s="1"/>
  <c r="F55" i="2" s="1"/>
  <c r="D52" i="2"/>
  <c r="C53" i="2"/>
  <c r="D53" i="2"/>
  <c r="E53" i="2"/>
  <c r="F53" i="2"/>
  <c r="C58" i="2"/>
  <c r="C59" i="2"/>
  <c r="C62" i="2" s="1"/>
  <c r="C61" i="2"/>
  <c r="D61" i="2"/>
  <c r="D62" i="2" s="1"/>
  <c r="E61" i="2"/>
  <c r="F61" i="2"/>
  <c r="G61" i="2"/>
  <c r="E62" i="2"/>
  <c r="F62" i="2"/>
  <c r="G62" i="2"/>
  <c r="G73" i="2" s="1"/>
  <c r="C64" i="2"/>
  <c r="F64" i="2"/>
  <c r="C65" i="2"/>
  <c r="F65" i="2"/>
  <c r="F70" i="2" s="1"/>
  <c r="F73" i="2" s="1"/>
  <c r="C66" i="2"/>
  <c r="C70" i="2" s="1"/>
  <c r="C73" i="2" s="1"/>
  <c r="C67" i="2"/>
  <c r="C68" i="2"/>
  <c r="E68" i="2"/>
  <c r="F68" i="2"/>
  <c r="C69" i="2"/>
  <c r="D69" i="2"/>
  <c r="E69" i="2"/>
  <c r="E70" i="2" s="1"/>
  <c r="E73" i="2" s="1"/>
  <c r="F69" i="2"/>
  <c r="G69" i="2"/>
  <c r="D70" i="2"/>
  <c r="D73" i="2" s="1"/>
  <c r="G70" i="2"/>
  <c r="C71" i="2"/>
  <c r="D71" i="2"/>
  <c r="E71" i="2"/>
  <c r="C72" i="2"/>
  <c r="E72" i="2"/>
  <c r="C77" i="2"/>
  <c r="D77" i="2"/>
  <c r="F77" i="2"/>
  <c r="F83" i="2" s="1"/>
  <c r="C79" i="2"/>
  <c r="E79" i="2"/>
  <c r="F79" i="2"/>
  <c r="C80" i="2"/>
  <c r="D80" i="2"/>
  <c r="F80" i="2"/>
  <c r="C81" i="2"/>
  <c r="D81" i="2"/>
  <c r="E81" i="2"/>
  <c r="F81" i="2"/>
  <c r="C82" i="2"/>
  <c r="C83" i="2"/>
  <c r="D83" i="2"/>
  <c r="C85" i="2"/>
  <c r="F85" i="2"/>
  <c r="F95" i="2" s="1"/>
  <c r="C86" i="2"/>
  <c r="C95" i="2" s="1"/>
  <c r="F86" i="2"/>
  <c r="D88" i="2"/>
  <c r="E88" i="2"/>
  <c r="E95" i="2" s="1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D95" i="2"/>
  <c r="C102" i="2"/>
  <c r="E102" i="2"/>
  <c r="E103" i="2"/>
  <c r="C104" i="2"/>
  <c r="E104" i="2"/>
  <c r="C105" i="2"/>
  <c r="E105" i="2"/>
  <c r="C106" i="2"/>
  <c r="E106" i="2"/>
  <c r="D107" i="2"/>
  <c r="F107" i="2"/>
  <c r="G107" i="2"/>
  <c r="C110" i="2"/>
  <c r="E110" i="2"/>
  <c r="E111" i="2"/>
  <c r="E120" i="2" s="1"/>
  <c r="E112" i="2"/>
  <c r="C113" i="2"/>
  <c r="E113" i="2"/>
  <c r="C115" i="2"/>
  <c r="C117" i="2"/>
  <c r="F120" i="2"/>
  <c r="G120" i="2"/>
  <c r="G137" i="2" s="1"/>
  <c r="C122" i="2"/>
  <c r="E122" i="2"/>
  <c r="D126" i="2"/>
  <c r="E126" i="2"/>
  <c r="F126" i="2"/>
  <c r="K411" i="1"/>
  <c r="K419" i="1"/>
  <c r="K425" i="1"/>
  <c r="K426" i="1"/>
  <c r="G126" i="2"/>
  <c r="G136" i="2" s="1"/>
  <c r="L255" i="1"/>
  <c r="C127" i="2"/>
  <c r="L256" i="1"/>
  <c r="C128" i="2"/>
  <c r="L257" i="1"/>
  <c r="C129" i="2"/>
  <c r="E129" i="2"/>
  <c r="C134" i="2"/>
  <c r="C135" i="2"/>
  <c r="E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D152" i="2"/>
  <c r="E152" i="2"/>
  <c r="F152" i="2"/>
  <c r="H490" i="1"/>
  <c r="D153" i="2"/>
  <c r="I490" i="1"/>
  <c r="E153" i="2" s="1"/>
  <c r="J490" i="1"/>
  <c r="F153" i="2" s="1"/>
  <c r="B154" i="2"/>
  <c r="G154" i="2" s="1"/>
  <c r="C154" i="2"/>
  <c r="D154" i="2"/>
  <c r="E154" i="2"/>
  <c r="F154" i="2"/>
  <c r="B155" i="2"/>
  <c r="G155" i="2" s="1"/>
  <c r="C155" i="2"/>
  <c r="D155" i="2"/>
  <c r="E155" i="2"/>
  <c r="F155" i="2"/>
  <c r="F493" i="1"/>
  <c r="B156" i="2"/>
  <c r="G493" i="1"/>
  <c r="K493" i="1" s="1"/>
  <c r="H493" i="1"/>
  <c r="D156" i="2" s="1"/>
  <c r="I493" i="1"/>
  <c r="E156" i="2"/>
  <c r="J493" i="1"/>
  <c r="F156" i="2"/>
  <c r="G19" i="1"/>
  <c r="G608" i="1" s="1"/>
  <c r="J608" i="1" s="1"/>
  <c r="H19" i="1"/>
  <c r="G609" i="1" s="1"/>
  <c r="I19" i="1"/>
  <c r="G610" i="1" s="1"/>
  <c r="F33" i="1"/>
  <c r="G33" i="1"/>
  <c r="H33" i="1"/>
  <c r="I33" i="1"/>
  <c r="F43" i="1"/>
  <c r="F44" i="1" s="1"/>
  <c r="H607" i="1" s="1"/>
  <c r="G43" i="1"/>
  <c r="H43" i="1"/>
  <c r="H44" i="1" s="1"/>
  <c r="H609" i="1" s="1"/>
  <c r="I43" i="1"/>
  <c r="I44" i="1" s="1"/>
  <c r="H610" i="1" s="1"/>
  <c r="G44" i="1"/>
  <c r="F169" i="1"/>
  <c r="F184" i="1" s="1"/>
  <c r="I169" i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I184" i="1"/>
  <c r="F203" i="1"/>
  <c r="F249" i="1" s="1"/>
  <c r="F263" i="1" s="1"/>
  <c r="G203" i="1"/>
  <c r="H203" i="1"/>
  <c r="I203" i="1"/>
  <c r="I249" i="1" s="1"/>
  <c r="I263" i="1" s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G249" i="1"/>
  <c r="H249" i="1"/>
  <c r="H263" i="1" s="1"/>
  <c r="J249" i="1"/>
  <c r="H638" i="1" s="1"/>
  <c r="G263" i="1"/>
  <c r="F282" i="1"/>
  <c r="F330" i="1" s="1"/>
  <c r="F344" i="1" s="1"/>
  <c r="G282" i="1"/>
  <c r="G330" i="1" s="1"/>
  <c r="G344" i="1" s="1"/>
  <c r="H282" i="1"/>
  <c r="I282" i="1"/>
  <c r="F301" i="1"/>
  <c r="G301" i="1"/>
  <c r="H301" i="1"/>
  <c r="H330" i="1" s="1"/>
  <c r="H344" i="1" s="1"/>
  <c r="I301" i="1"/>
  <c r="F320" i="1"/>
  <c r="G320" i="1"/>
  <c r="H320" i="1"/>
  <c r="I320" i="1"/>
  <c r="I330" i="1" s="1"/>
  <c r="I344" i="1" s="1"/>
  <c r="F329" i="1"/>
  <c r="G329" i="1"/>
  <c r="L329" i="1" s="1"/>
  <c r="H329" i="1"/>
  <c r="I329" i="1"/>
  <c r="J329" i="1"/>
  <c r="K329" i="1"/>
  <c r="J330" i="1"/>
  <c r="J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I400" i="1" s="1"/>
  <c r="F399" i="1"/>
  <c r="F400" i="1" s="1"/>
  <c r="H633" i="1" s="1"/>
  <c r="G399" i="1"/>
  <c r="G400" i="1" s="1"/>
  <c r="H635" i="1" s="1"/>
  <c r="H399" i="1"/>
  <c r="I399" i="1"/>
  <c r="H400" i="1"/>
  <c r="H634" i="1" s="1"/>
  <c r="J634" i="1" s="1"/>
  <c r="L405" i="1"/>
  <c r="L406" i="1"/>
  <c r="L411" i="1" s="1"/>
  <c r="L426" i="1" s="1"/>
  <c r="G628" i="1" s="1"/>
  <c r="J628" i="1" s="1"/>
  <c r="L407" i="1"/>
  <c r="L408" i="1"/>
  <c r="L409" i="1"/>
  <c r="L410" i="1"/>
  <c r="F411" i="1"/>
  <c r="G411" i="1"/>
  <c r="G426" i="1" s="1"/>
  <c r="H411" i="1"/>
  <c r="H426" i="1" s="1"/>
  <c r="I411" i="1"/>
  <c r="I426" i="1" s="1"/>
  <c r="J411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F426" i="1" s="1"/>
  <c r="G425" i="1"/>
  <c r="H425" i="1"/>
  <c r="I425" i="1"/>
  <c r="J425" i="1"/>
  <c r="J426" i="1"/>
  <c r="F438" i="1"/>
  <c r="G629" i="1" s="1"/>
  <c r="J629" i="1" s="1"/>
  <c r="G438" i="1"/>
  <c r="H438" i="1"/>
  <c r="F444" i="1"/>
  <c r="G444" i="1"/>
  <c r="G451" i="1" s="1"/>
  <c r="H630" i="1" s="1"/>
  <c r="J630" i="1" s="1"/>
  <c r="H444" i="1"/>
  <c r="H451" i="1" s="1"/>
  <c r="H631" i="1" s="1"/>
  <c r="F450" i="1"/>
  <c r="G450" i="1"/>
  <c r="H450" i="1"/>
  <c r="F451" i="1"/>
  <c r="F460" i="1"/>
  <c r="F466" i="1" s="1"/>
  <c r="H612" i="1" s="1"/>
  <c r="G460" i="1"/>
  <c r="G466" i="1" s="1"/>
  <c r="H613" i="1" s="1"/>
  <c r="H460" i="1"/>
  <c r="I460" i="1"/>
  <c r="J460" i="1"/>
  <c r="F464" i="1"/>
  <c r="G464" i="1"/>
  <c r="H464" i="1"/>
  <c r="I464" i="1"/>
  <c r="I466" i="1" s="1"/>
  <c r="H615" i="1" s="1"/>
  <c r="J464" i="1"/>
  <c r="H466" i="1"/>
  <c r="H614" i="1" s="1"/>
  <c r="J614" i="1" s="1"/>
  <c r="J466" i="1"/>
  <c r="K485" i="1"/>
  <c r="K486" i="1"/>
  <c r="K487" i="1"/>
  <c r="K488" i="1"/>
  <c r="K491" i="1"/>
  <c r="K492" i="1"/>
  <c r="F507" i="1"/>
  <c r="G507" i="1"/>
  <c r="H507" i="1"/>
  <c r="I507" i="1"/>
  <c r="F514" i="1"/>
  <c r="G514" i="1"/>
  <c r="G535" i="1" s="1"/>
  <c r="H514" i="1"/>
  <c r="H535" i="1" s="1"/>
  <c r="I514" i="1"/>
  <c r="J514" i="1"/>
  <c r="J535" i="1" s="1"/>
  <c r="K514" i="1"/>
  <c r="L514" i="1"/>
  <c r="L535" i="1" s="1"/>
  <c r="F519" i="1"/>
  <c r="F535" i="1" s="1"/>
  <c r="G519" i="1"/>
  <c r="H519" i="1"/>
  <c r="I519" i="1"/>
  <c r="J519" i="1"/>
  <c r="K519" i="1"/>
  <c r="L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I535" i="1"/>
  <c r="K535" i="1"/>
  <c r="L547" i="1"/>
  <c r="L548" i="1"/>
  <c r="L549" i="1"/>
  <c r="L550" i="1" s="1"/>
  <c r="F550" i="1"/>
  <c r="F561" i="1" s="1"/>
  <c r="G550" i="1"/>
  <c r="H550" i="1"/>
  <c r="I550" i="1"/>
  <c r="J550" i="1"/>
  <c r="K550" i="1"/>
  <c r="K561" i="1" s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I561" i="1" s="1"/>
  <c r="J560" i="1"/>
  <c r="K560" i="1"/>
  <c r="G561" i="1"/>
  <c r="H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I588" i="1"/>
  <c r="H640" i="1" s="1"/>
  <c r="J640" i="1" s="1"/>
  <c r="J588" i="1"/>
  <c r="K592" i="1"/>
  <c r="K593" i="1"/>
  <c r="K594" i="1"/>
  <c r="H595" i="1"/>
  <c r="I595" i="1"/>
  <c r="J595" i="1"/>
  <c r="K595" i="1"/>
  <c r="G638" i="1" s="1"/>
  <c r="J638" i="1" s="1"/>
  <c r="F604" i="1"/>
  <c r="G604" i="1"/>
  <c r="H604" i="1"/>
  <c r="I604" i="1"/>
  <c r="J604" i="1"/>
  <c r="K604" i="1"/>
  <c r="H608" i="1"/>
  <c r="G613" i="1"/>
  <c r="G614" i="1"/>
  <c r="G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G630" i="1"/>
  <c r="G631" i="1"/>
  <c r="G633" i="1"/>
  <c r="G634" i="1"/>
  <c r="G635" i="1"/>
  <c r="J635" i="1" s="1"/>
  <c r="H637" i="1"/>
  <c r="G639" i="1"/>
  <c r="J639" i="1" s="1"/>
  <c r="H639" i="1"/>
  <c r="G640" i="1"/>
  <c r="G641" i="1"/>
  <c r="J641" i="1" s="1"/>
  <c r="H641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G55" i="2" l="1"/>
  <c r="G96" i="2" s="1"/>
  <c r="C27" i="10"/>
  <c r="G625" i="1"/>
  <c r="J625" i="1" s="1"/>
  <c r="J615" i="1"/>
  <c r="H154" i="1"/>
  <c r="H161" i="1" s="1"/>
  <c r="C55" i="2"/>
  <c r="C96" i="2" s="1"/>
  <c r="J185" i="1"/>
  <c r="D55" i="2"/>
  <c r="D96" i="2" s="1"/>
  <c r="J613" i="1"/>
  <c r="G32" i="2"/>
  <c r="J19" i="1"/>
  <c r="G611" i="1" s="1"/>
  <c r="F185" i="1"/>
  <c r="G617" i="1" s="1"/>
  <c r="J617" i="1" s="1"/>
  <c r="D31" i="13"/>
  <c r="C31" i="13" s="1"/>
  <c r="E137" i="2"/>
  <c r="H33" i="13"/>
  <c r="C25" i="13"/>
  <c r="D43" i="2"/>
  <c r="B153" i="2"/>
  <c r="G153" i="2" s="1"/>
  <c r="K490" i="1"/>
  <c r="J43" i="1"/>
  <c r="G36" i="2"/>
  <c r="G42" i="2" s="1"/>
  <c r="G43" i="2" s="1"/>
  <c r="J607" i="1"/>
  <c r="G156" i="2"/>
  <c r="F137" i="2"/>
  <c r="C5" i="13"/>
  <c r="F96" i="2"/>
  <c r="L400" i="1"/>
  <c r="C130" i="2"/>
  <c r="C133" i="2" s="1"/>
  <c r="E33" i="13"/>
  <c r="D35" i="13" s="1"/>
  <c r="C8" i="13"/>
  <c r="H650" i="1"/>
  <c r="C112" i="2"/>
  <c r="C120" i="2" s="1"/>
  <c r="C17" i="10"/>
  <c r="J633" i="1"/>
  <c r="L561" i="1"/>
  <c r="J610" i="1"/>
  <c r="J631" i="1"/>
  <c r="J609" i="1"/>
  <c r="E43" i="2"/>
  <c r="E136" i="2"/>
  <c r="K489" i="1"/>
  <c r="I450" i="1"/>
  <c r="I451" i="1" s="1"/>
  <c r="H632" i="1" s="1"/>
  <c r="K330" i="1"/>
  <c r="K344" i="1" s="1"/>
  <c r="J33" i="1"/>
  <c r="C152" i="2"/>
  <c r="G9" i="2"/>
  <c r="G19" i="2" s="1"/>
  <c r="J541" i="1"/>
  <c r="J542" i="1" s="1"/>
  <c r="L221" i="1"/>
  <c r="G650" i="1" s="1"/>
  <c r="C19" i="10"/>
  <c r="C101" i="2"/>
  <c r="C107" i="2" s="1"/>
  <c r="L203" i="1"/>
  <c r="C35" i="10"/>
  <c r="H147" i="1"/>
  <c r="E80" i="2" s="1"/>
  <c r="G612" i="1"/>
  <c r="J612" i="1" s="1"/>
  <c r="J263" i="1"/>
  <c r="E77" i="2"/>
  <c r="F542" i="1"/>
  <c r="L343" i="1"/>
  <c r="L344" i="1" s="1"/>
  <c r="G623" i="1" s="1"/>
  <c r="J623" i="1" s="1"/>
  <c r="F652" i="1"/>
  <c r="I652" i="1" s="1"/>
  <c r="C16" i="10"/>
  <c r="D15" i="13"/>
  <c r="C15" i="13" s="1"/>
  <c r="D6" i="13"/>
  <c r="C6" i="13" s="1"/>
  <c r="B152" i="2"/>
  <c r="C114" i="2"/>
  <c r="C25" i="10"/>
  <c r="C156" i="2"/>
  <c r="D119" i="2"/>
  <c r="D120" i="2" s="1"/>
  <c r="D137" i="2" s="1"/>
  <c r="H651" i="1"/>
  <c r="C24" i="10"/>
  <c r="F22" i="13"/>
  <c r="C22" i="13" s="1"/>
  <c r="C9" i="2"/>
  <c r="C19" i="2" s="1"/>
  <c r="C32" i="10"/>
  <c r="G651" i="1"/>
  <c r="C12" i="10"/>
  <c r="L604" i="1"/>
  <c r="F651" i="1"/>
  <c r="I438" i="1"/>
  <c r="G632" i="1" s="1"/>
  <c r="C10" i="10"/>
  <c r="G104" i="1"/>
  <c r="G185" i="1" s="1"/>
  <c r="G618" i="1" s="1"/>
  <c r="J618" i="1" s="1"/>
  <c r="L374" i="1"/>
  <c r="G626" i="1" s="1"/>
  <c r="J626" i="1" s="1"/>
  <c r="C123" i="2"/>
  <c r="C136" i="2" s="1"/>
  <c r="H185" i="1" l="1"/>
  <c r="G619" i="1" s="1"/>
  <c r="J619" i="1" s="1"/>
  <c r="C39" i="10"/>
  <c r="G654" i="1"/>
  <c r="K541" i="1"/>
  <c r="K542" i="1" s="1"/>
  <c r="G616" i="1"/>
  <c r="J44" i="1"/>
  <c r="H611" i="1" s="1"/>
  <c r="J611" i="1" s="1"/>
  <c r="C28" i="10"/>
  <c r="D10" i="10" s="1"/>
  <c r="E83" i="2"/>
  <c r="E96" i="2" s="1"/>
  <c r="D33" i="13"/>
  <c r="D36" i="13" s="1"/>
  <c r="J632" i="1"/>
  <c r="F33" i="13"/>
  <c r="I651" i="1"/>
  <c r="C41" i="10"/>
  <c r="D35" i="10" s="1"/>
  <c r="C36" i="10"/>
  <c r="H654" i="1"/>
  <c r="G152" i="2"/>
  <c r="L249" i="1"/>
  <c r="L263" i="1" s="1"/>
  <c r="G622" i="1" s="1"/>
  <c r="J622" i="1" s="1"/>
  <c r="F650" i="1"/>
  <c r="G627" i="1"/>
  <c r="J627" i="1" s="1"/>
  <c r="H636" i="1"/>
  <c r="C137" i="2"/>
  <c r="G636" i="1"/>
  <c r="J636" i="1" s="1"/>
  <c r="G621" i="1"/>
  <c r="J621" i="1" s="1"/>
  <c r="H662" i="1" l="1"/>
  <c r="H657" i="1"/>
  <c r="D36" i="10"/>
  <c r="D41" i="10" s="1"/>
  <c r="C30" i="10"/>
  <c r="D11" i="10"/>
  <c r="D28" i="10" s="1"/>
  <c r="D22" i="10"/>
  <c r="D20" i="10"/>
  <c r="D23" i="10"/>
  <c r="D21" i="10"/>
  <c r="D18" i="10"/>
  <c r="D26" i="10"/>
  <c r="D15" i="10"/>
  <c r="D13" i="10"/>
  <c r="D27" i="10"/>
  <c r="D25" i="10"/>
  <c r="D24" i="10"/>
  <c r="D37" i="10"/>
  <c r="D38" i="10"/>
  <c r="D40" i="10"/>
  <c r="J616" i="1"/>
  <c r="H646" i="1"/>
  <c r="D17" i="10"/>
  <c r="G662" i="1"/>
  <c r="G657" i="1"/>
  <c r="I650" i="1"/>
  <c r="I654" i="1" s="1"/>
  <c r="F654" i="1"/>
  <c r="D16" i="10"/>
  <c r="D19" i="10"/>
  <c r="D39" i="10"/>
  <c r="D12" i="10"/>
  <c r="I662" i="1" l="1"/>
  <c r="C7" i="10" s="1"/>
  <c r="I657" i="1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006483D-4EDC-4452-A0A6-F48BECD66528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4689DE3-11A2-4D8A-9453-8AF5825CD0F1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9989177E-08F8-4F79-95A8-7A00398958E4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D801F83-B0D9-4B9C-96CD-1CEC7F47C540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D4B0A43B-8F26-489A-86FD-9BC13C85090F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80810D95-110C-43A4-9385-B7BD47888064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D082BC77-1165-4E84-8B91-907B34A7E22F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DD134D1A-F8B9-4FD0-A04F-8E1138C249C5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359F92F3-519D-4393-B854-DF6B0B694DEA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27394D04-6628-424D-803F-38626C8D6F57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0A503295-8700-45A9-88C5-1242B7C82C2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FAD31ACF-39EE-4B03-972E-3AF96FB64E62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<sst xmlns="http://schemas.openxmlformats.org/spreadsheetml/2006/main" count="3866" uniqueCount="903">
  <si>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</si>
  <si>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</si>
  <si>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</si>
  <si>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</si>
  <si>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</si>
  <si>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</si>
  <si>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</si>
  <si>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</si>
  <si>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</si>
  <si>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</si>
  <si>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</si>
  <si>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</si>
  <si>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</si>
  <si>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</si>
  <si>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</si>
  <si>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</si>
  <si>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</si>
  <si>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</si>
  <si>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</si>
  <si>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</si>
  <si>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</si>
  <si>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</si>
  <si>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</si>
  <si>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</si>
  <si>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</si>
  <si>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</si>
  <si>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</si>
  <si>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</si>
  <si>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</si>
  <si>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</si>
  <si>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</si>
  <si>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</si>
  <si>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</si>
  <si>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</si>
  <si>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</si>
  <si>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</si>
  <si>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</si>
  <si>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</si>
  <si>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</si>
  <si>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</si>
  <si>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</si>
  <si>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</si>
  <si>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</si>
  <si>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</si>
  <si>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</si>
  <si>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</si>
  <si>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</si>
  <si>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</si>
  <si>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</si>
  <si>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</si>
  <si>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</si>
  <si>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</si>
  <si>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</si>
  <si>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</si>
  <si>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</si>
  <si>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</si>
  <si>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</si>
  <si>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</si>
  <si>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</si>
  <si>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</si>
  <si>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</si>
  <si>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</si>
  <si>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</si>
  <si>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</si>
  <si>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</si>
  <si>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</si>
  <si>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</si>
  <si>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</si>
  <si>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</si>
  <si>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</si>
  <si>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</si>
  <si>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</si>
  <si>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</si>
  <si>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</si>
  <si>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</si>
  <si>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</si>
  <si>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</si>
  <si>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</si>
  <si>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</si>
  <si>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</si>
  <si>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</si>
  <si>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</si>
  <si>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</si>
  <si>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</si>
  <si>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</si>
  <si>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</si>
  <si>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</si>
  <si>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</si>
  <si>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</si>
  <si>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</si>
  <si>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</si>
  <si>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</si>
  <si>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</si>
  <si>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</si>
  <si>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</si>
  <si>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</si>
  <si>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</si>
  <si>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</si>
  <si>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</si>
  <si>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</si>
  <si>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</si>
  <si>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</si>
  <si>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</si>
  <si>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</si>
  <si>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</si>
  <si>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</si>
  <si>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</si>
  <si>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</si>
  <si>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</si>
  <si>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</si>
  <si>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</si>
  <si>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</si>
  <si>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</si>
  <si>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</si>
  <si>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</si>
  <si>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</si>
  <si>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</si>
  <si>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</si>
  <si>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</si>
  <si>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</si>
  <si>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</si>
  <si>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</si>
  <si>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</si>
  <si>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</si>
  <si>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</si>
  <si>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</si>
  <si>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</si>
  <si>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</si>
  <si>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</si>
  <si>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</si>
  <si>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</si>
  <si>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</si>
  <si>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</si>
  <si>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</si>
  <si>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</si>
  <si>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</si>
  <si>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</si>
  <si>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</si>
  <si>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</si>
  <si>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</si>
  <si>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</si>
  <si>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</si>
  <si>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</si>
  <si>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</si>
  <si>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</si>
  <si>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</si>
  <si>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</si>
  <si>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</si>
  <si>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</si>
  <si>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</si>
  <si>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</si>
  <si>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</si>
  <si>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</si>
  <si>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</si>
  <si>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</si>
  <si>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</si>
  <si>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</si>
  <si>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</si>
  <si>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</si>
  <si>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</si>
  <si>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</si>
  <si>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</si>
  <si>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</si>
  <si>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</si>
  <si>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</si>
  <si>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</si>
  <si>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</si>
  <si>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</si>
  <si>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</si>
  <si>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</si>
  <si>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</si>
  <si>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</si>
  <si>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</si>
  <si>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</si>
  <si>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</si>
  <si>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</si>
  <si>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</si>
  <si>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</si>
  <si>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</si>
  <si>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</si>
  <si>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</si>
  <si>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</si>
  <si>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</si>
  <si>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</si>
  <si>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</si>
  <si>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</si>
  <si>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</si>
  <si>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</si>
  <si>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</si>
  <si>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</si>
  <si>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</si>
  <si>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</si>
  <si>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</si>
  <si>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</si>
  <si>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</si>
  <si>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</si>
  <si>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</si>
  <si>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</si>
  <si>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</si>
  <si>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</si>
  <si>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</si>
  <si>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</si>
  <si>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</si>
  <si>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</si>
  <si>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</si>
  <si>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</si>
  <si>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</si>
  <si>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</si>
  <si>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</si>
  <si>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</si>
  <si>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</si>
  <si>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</si>
  <si>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</si>
  <si>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</si>
  <si>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</si>
  <si>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</si>
  <si>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</si>
  <si>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</si>
  <si>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</si>
  <si>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</si>
  <si>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</si>
  <si>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</si>
  <si>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</si>
  <si>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</si>
  <si>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</si>
  <si>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</si>
  <si>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</si>
  <si>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</si>
  <si>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</si>
  <si>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</si>
  <si>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</si>
  <si>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</si>
  <si>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</si>
  <si>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</si>
  <si>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</si>
  <si>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</si>
  <si>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</si>
  <si>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</si>
  <si>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</si>
  <si>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</si>
  <si>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</si>
  <si>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</si>
  <si>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</si>
  <si>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</si>
  <si>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</si>
  <si>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</si>
  <si>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</si>
  <si>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</si>
  <si>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</si>
  <si>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</si>
  <si>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</si>
  <si>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</si>
  <si>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</si>
  <si>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</si>
  <si>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</si>
  <si>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</si>
  <si>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</si>
  <si>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</si>
  <si>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</si>
  <si>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</si>
  <si>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</si>
  <si>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</si>
  <si>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</si>
  <si>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</si>
  <si>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</si>
  <si>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</si>
  <si>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</si>
  <si>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</si>
  <si>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</si>
  <si>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</si>
  <si>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</si>
  <si>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</si>
  <si>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</si>
  <si>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</si>
  <si>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</si>
  <si>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</si>
  <si>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</si>
  <si>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</si>
  <si>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</si>
  <si>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</si>
  <si>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</si>
  <si>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</si>
  <si>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</si>
  <si>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</si>
  <si>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</si>
  <si>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</si>
  <si>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</si>
  <si>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</si>
  <si>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</si>
  <si>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</si>
  <si>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</si>
  <si>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</si>
  <si>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</si>
  <si>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</si>
  <si>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</si>
  <si>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</si>
  <si>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</si>
  <si>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</si>
  <si>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</si>
  <si>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</si>
  <si>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</si>
  <si>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</si>
  <si>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</si>
  <si>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</si>
  <si>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</si>
  <si>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</si>
  <si>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</si>
  <si>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</si>
  <si>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</si>
  <si>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</si>
  <si>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</si>
  <si>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</si>
  <si>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</si>
  <si>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</si>
  <si>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</si>
  <si>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</si>
  <si>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</si>
  <si>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</si>
  <si>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</si>
  <si>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</si>
  <si>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</si>
  <si>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</si>
  <si>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</si>
  <si>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</si>
  <si>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</si>
  <si>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</si>
  <si>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</si>
  <si>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</si>
  <si>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</si>
  <si>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</si>
  <si>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</si>
  <si>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</si>
  <si>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</si>
  <si>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</si>
  <si>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</si>
  <si>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</si>
  <si>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</si>
  <si>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</si>
  <si>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</si>
  <si>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</si>
  <si>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</si>
  <si>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</si>
  <si>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</si>
  <si>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</si>
  <si>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</si>
  <si>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</si>
  <si>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</si>
  <si>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</si>
  <si>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</si>
  <si>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</si>
  <si>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</si>
  <si>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</si>
  <si>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</si>
  <si>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</si>
  <si>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</si>
  <si>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</si>
  <si>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</si>
  <si>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</si>
  <si>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</si>
  <si>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</si>
  <si>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</si>
  <si>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</si>
  <si>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</si>
  <si>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</si>
  <si>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</si>
  <si>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</si>
  <si>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</si>
  <si>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</si>
  <si>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</si>
  <si>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</si>
  <si>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</si>
  <si>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</si>
  <si>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</si>
  <si>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</si>
  <si>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</si>
  <si>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</si>
  <si>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</si>
  <si>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</si>
  <si>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</si>
  <si>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</si>
  <si>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</si>
  <si>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</si>
  <si>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</si>
  <si>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</si>
  <si>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</si>
  <si>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</si>
  <si>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</si>
  <si>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</si>
  <si>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</si>
  <si>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</si>
  <si>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</si>
  <si>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</si>
  <si>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</si>
  <si>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</si>
  <si>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</si>
  <si>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</si>
  <si>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</si>
  <si>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</si>
  <si>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</si>
  <si>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</si>
  <si>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</si>
  <si>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</si>
  <si>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</si>
  <si>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</si>
  <si>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</si>
  <si>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</si>
  <si>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</si>
  <si>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</si>
  <si>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</si>
  <si>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</si>
  <si>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</si>
  <si>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</si>
  <si>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</si>
  <si>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</si>
  <si>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</si>
  <si>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</si>
  <si>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</si>
  <si>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</si>
  <si>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</si>
  <si>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</si>
  <si>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</si>
  <si>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</si>
  <si>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</si>
  <si>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</si>
  <si>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</si>
  <si>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</si>
  <si>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</si>
  <si>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</si>
  <si>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</si>
  <si>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</si>
  <si>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</si>
  <si>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</si>
  <si>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</si>
  <si>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</si>
  <si>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</si>
  <si>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</si>
  <si>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</si>
  <si>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</si>
  <si>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</si>
  <si>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</si>
  <si>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</si>
  <si>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</si>
  <si>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</si>
  <si>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</si>
  <si>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</si>
  <si>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</si>
  <si>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</si>
  <si>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</si>
  <si>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</si>
  <si>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</si>
  <si>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</si>
  <si>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</si>
  <si>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</si>
  <si>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</si>
  <si>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</si>
  <si>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</si>
  <si>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</si>
  <si>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</si>
  <si>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</si>
  <si>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</si>
  <si>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</si>
  <si>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</si>
  <si>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</si>
  <si>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</si>
  <si>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</si>
  <si>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</si>
  <si>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</si>
  <si>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</si>
  <si>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</si>
  <si>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</si>
  <si>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</si>
  <si>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</si>
  <si>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</si>
  <si>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</si>
  <si>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</si>
  <si>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</si>
  <si>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</si>
  <si>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</si>
  <si>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</si>
  <si>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</si>
  <si>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</si>
  <si>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</si>
  <si>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</si>
  <si>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</si>
  <si>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</si>
  <si>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</si>
  <si>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</si>
  <si>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</si>
  <si>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</si>
  <si>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</si>
  <si>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</si>
  <si>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</si>
  <si>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</si>
  <si>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</si>
  <si>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</si>
  <si>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</si>
  <si>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</si>
  <si>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</si>
  <si>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</si>
  <si>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</si>
  <si>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</si>
  <si>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</si>
  <si>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</si>
  <si>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</si>
  <si>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</si>
  <si>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</si>
  <si>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</si>
  <si>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</si>
  <si>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</si>
  <si>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</si>
  <si>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</si>
  <si>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</si>
  <si>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</si>
  <si>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</si>
  <si>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</si>
  <si>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</si>
  <si>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</si>
  <si>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</si>
  <si>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</si>
  <si>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</si>
  <si>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</si>
  <si>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</si>
  <si>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</si>
  <si>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</si>
  <si>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</si>
  <si>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</si>
  <si>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</si>
  <si>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</si>
  <si>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</si>
  <si>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</si>
  <si>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</si>
  <si>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</si>
  <si>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</si>
  <si>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</si>
  <si>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</si>
  <si>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</si>
  <si>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</si>
  <si>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</si>
  <si>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</si>
  <si>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</si>
  <si>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</si>
  <si>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</si>
  <si>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</si>
  <si>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</si>
  <si>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</si>
  <si>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</si>
  <si>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</si>
  <si>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</si>
  <si>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</si>
  <si>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</si>
  <si>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</si>
  <si>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</si>
  <si>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</si>
  <si>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</si>
  <si>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</si>
  <si>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</si>
  <si>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</si>
  <si>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</si>
  <si>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</si>
  <si>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</si>
  <si>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</si>
  <si>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</si>
  <si>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</si>
  <si>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</si>
  <si>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</si>
  <si>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</si>
  <si>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</si>
  <si>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</si>
  <si>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</si>
  <si>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</si>
  <si>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</si>
  <si>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</si>
  <si>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</si>
  <si>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</si>
  <si>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</si>
  <si>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</si>
  <si>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</si>
  <si>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</si>
  <si>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</si>
  <si>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</si>
  <si>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</si>
  <si>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</si>
  <si>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</si>
  <si>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</si>
  <si>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</si>
  <si>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</si>
  <si>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</si>
  <si>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</si>
  <si>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</si>
  <si>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</si>
  <si>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</si>
  <si>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</si>
  <si>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</si>
  <si>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</si>
  <si>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</si>
  <si>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</si>
  <si>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</si>
  <si>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</si>
  <si>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</si>
  <si>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</si>
  <si>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</si>
  <si>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</si>
  <si>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</si>
  <si>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</si>
  <si>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</si>
  <si>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</si>
  <si>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</si>
  <si>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</si>
  <si>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</si>
  <si>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</si>
  <si>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</si>
  <si>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</si>
  <si>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</si>
  <si>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</si>
  <si>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</si>
  <si>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</si>
  <si>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</si>
  <si>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</si>
  <si>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</si>
  <si>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</si>
  <si>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</si>
  <si>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</si>
  <si>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</si>
  <si>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</si>
  <si>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</si>
  <si>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</si>
  <si>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</si>
  <si>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</si>
  <si>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</si>
  <si>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</si>
  <si>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</si>
  <si>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</si>
  <si>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</si>
  <si>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</si>
  <si>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</si>
  <si>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</si>
  <si>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</si>
  <si>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</si>
  <si>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</si>
  <si>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</si>
  <si>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</si>
  <si>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</si>
  <si>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</si>
  <si>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</si>
  <si>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</si>
  <si>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</si>
  <si>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</si>
  <si>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</si>
  <si>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</si>
  <si>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</si>
  <si>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</si>
  <si>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</si>
  <si>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</si>
  <si>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</si>
  <si>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</si>
  <si>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</si>
  <si>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</si>
  <si>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</si>
  <si>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</si>
  <si>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</si>
  <si>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</si>
  <si>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</si>
  <si>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</si>
  <si>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</si>
  <si>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</si>
  <si>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</si>
  <si>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</si>
  <si>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</si>
  <si>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</si>
  <si>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</si>
  <si>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</si>
  <si>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</si>
  <si>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</si>
  <si>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</si>
  <si>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</si>
  <si>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</si>
  <si>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</si>
  <si>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</si>
  <si>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</si>
  <si>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</si>
  <si>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</si>
  <si>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</si>
  <si>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</si>
  <si>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</si>
  <si>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</si>
  <si>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</si>
  <si>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</si>
  <si>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</si>
  <si>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</si>
  <si>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</si>
  <si>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</si>
  <si>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</si>
  <si>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</si>
  <si>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</si>
  <si>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</si>
  <si>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</si>
  <si>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</si>
  <si>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</si>
  <si>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</si>
  <si>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</si>
  <si>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</si>
  <si>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</si>
  <si>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</si>
  <si>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</si>
  <si>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</si>
  <si>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</si>
  <si>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</si>
  <si>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</si>
  <si>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</si>
  <si>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</si>
  <si>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</si>
  <si>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</si>
  <si>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</si>
  <si>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</si>
  <si>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</si>
  <si>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</si>
  <si>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</si>
  <si>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</si>
  <si>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</si>
  <si>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</si>
  <si>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</si>
  <si>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</si>
  <si>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</si>
  <si>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</si>
  <si>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</si>
  <si>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</si>
  <si>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</si>
  <si>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</si>
  <si>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</si>
  <si>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</si>
  <si>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</si>
  <si>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</si>
  <si>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</si>
  <si>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</si>
  <si>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</si>
  <si>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</si>
  <si>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</si>
  <si>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</si>
  <si>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</si>
  <si>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</si>
  <si>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</si>
  <si>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</si>
  <si>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</si>
  <si>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</si>
  <si>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</si>
  <si>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</si>
  <si>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</si>
  <si>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</si>
  <si>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</si>
  <si>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</si>
  <si>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</si>
  <si>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</si>
  <si>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</si>
  <si>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</si>
  <si>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</si>
  <si>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</si>
  <si>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</si>
  <si>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</si>
  <si>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</si>
  <si>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</si>
  <si>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</si>
  <si>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</si>
  <si>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</si>
  <si>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</si>
  <si>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</si>
  <si>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</si>
  <si>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</si>
  <si>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</si>
  <si>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</si>
  <si>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</si>
  <si>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</si>
  <si>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</si>
  <si>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</si>
  <si>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</si>
  <si>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</si>
  <si>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</si>
  <si>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</si>
  <si>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</si>
  <si>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</si>
  <si>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</si>
  <si>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</si>
  <si>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</si>
  <si>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</si>
  <si>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</si>
  <si>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</si>
  <si>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</si>
  <si>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</si>
  <si>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</si>
  <si>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</si>
  <si>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</si>
  <si>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</si>
  <si>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</si>
  <si>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</si>
  <si>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</si>
  <si>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</si>
  <si>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</si>
  <si>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</si>
  <si>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</si>
  <si>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</si>
  <si>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</si>
  <si>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</si>
  <si>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</si>
  <si>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</si>
  <si>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</si>
  <si>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</si>
  <si>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</si>
  <si>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</si>
  <si>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</si>
  <si>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</si>
  <si>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</si>
  <si>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</si>
  <si>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</si>
  <si>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</si>
  <si>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</si>
  <si>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</si>
  <si>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</si>
  <si>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</si>
  <si>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</si>
  <si>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</si>
  <si>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</si>
  <si>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</si>
  <si>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</si>
  <si>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</si>
  <si>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</si>
  <si>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</si>
  <si>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</si>
  <si>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</si>
  <si>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</si>
  <si>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</si>
  <si>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</si>
  <si>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</si>
  <si>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</si>
  <si>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</si>
  <si>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</si>
  <si>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</si>
  <si>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</si>
  <si>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</si>
  <si>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</si>
  <si>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</si>
  <si>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</si>
  <si>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</si>
  <si>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</si>
  <si>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</si>
  <si>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</si>
  <si>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</si>
  <si>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</si>
  <si>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</si>
  <si>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</si>
  <si>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</si>
  <si>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</si>
  <si>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</si>
  <si>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</si>
  <si>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</si>
  <si>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</si>
  <si>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</si>
  <si>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</si>
  <si>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</si>
  <si>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</si>
  <si>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</si>
  <si>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</si>
  <si>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</si>
  <si>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</si>
  <si>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</si>
  <si>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</si>
  <si>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</si>
  <si>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</si>
  <si>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</si>
  <si>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</si>
  <si>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</si>
  <si>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</si>
  <si>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</si>
  <si>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</si>
  <si>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</si>
  <si>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</si>
  <si>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</si>
  <si>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</si>
  <si>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</si>
  <si>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</si>
  <si>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</si>
  <si>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</si>
  <si>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</si>
  <si>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</si>
  <si>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</si>
  <si>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</si>
  <si>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</si>
  <si>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</si>
  <si>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</si>
  <si>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</si>
  <si>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</si>
  <si>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</si>
  <si>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</si>
  <si>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</si>
  <si>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</si>
  <si>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</si>
  <si>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PIERMONT SCHOOL DISTRICT</t>
  </si>
  <si>
    <t>7/91</t>
  </si>
  <si>
    <t>8/06</t>
  </si>
  <si>
    <t>1/2011</t>
  </si>
  <si>
    <t>8/2011</t>
  </si>
  <si>
    <t>enc. For food service reported under fund 10 last year, spent under fund 21</t>
  </si>
  <si>
    <t>enc. For food service reported under fund 10 last year; spent under fund 21</t>
  </si>
  <si>
    <t>ms-25</t>
  </si>
  <si>
    <t>We don't have a transfer to fiduciary fund; puts trust fund information on this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</si>
</sst>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" fillId="0" borderId="0" xfId="0" applyFont="1" applyAlignment="1" applyProtection="1">
      <alignment horizontal="center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3804-877E-452E-B6C5-BE28A12CE74C}">
  <sheetPr transitionEvaluation="1" transitionEntry="1" codeName="Sheet1">
    <tabColor indexed="56"/>
  </sheetPr>
  <dimension ref="A1:AQ666"/>
  <sheetViews>
    <sheetView tabSelected="1" topLeftCell="A633" zoomScale="75" workbookViewId="0">
      <selection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435</v>
      </c>
      <c r="C2" s="21">
        <v>435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61339.8+100</f>
        <v>61439.8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315606.90000000002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4745.07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4212.7700000000004</v>
      </c>
      <c r="G13" s="18">
        <v>1849.37</v>
      </c>
      <c r="H13" s="18">
        <v>2938.14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5194.16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224.5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75816.3</v>
      </c>
      <c r="G19" s="41">
        <f>SUM(G9:G18)</f>
        <v>1849.37</v>
      </c>
      <c r="H19" s="41">
        <f>SUM(H9:H18)</f>
        <v>2938.14</v>
      </c>
      <c r="I19" s="41">
        <f>SUM(I9:I18)</f>
        <v>0</v>
      </c>
      <c r="J19" s="41">
        <f>SUM(J9:J18)</f>
        <v>315606.90000000002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1806.93</v>
      </c>
      <c r="H23" s="18">
        <v>2938.14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17340.63</v>
      </c>
      <c r="G25" s="18">
        <v>42.44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1936.8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148.17+94.05+64.16+1.87</f>
        <v>308.25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19585.68</v>
      </c>
      <c r="G33" s="41">
        <f>SUM(G23:G32)</f>
        <v>1849.3700000000001</v>
      </c>
      <c r="H33" s="41">
        <f>SUM(H23:H32)</f>
        <v>2938.14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5006.6000000000004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/>
      <c r="H41" s="18"/>
      <c r="I41" s="18"/>
      <c r="J41" s="13">
        <f>SUM(I449)</f>
        <v>315606.90000000002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51224.02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56230.619999999995</v>
      </c>
      <c r="G43" s="41">
        <f>SUM(G35:G42)</f>
        <v>0</v>
      </c>
      <c r="H43" s="41">
        <f>SUM(H35:H42)</f>
        <v>0</v>
      </c>
      <c r="I43" s="41">
        <f>SUM(I35:I42)</f>
        <v>0</v>
      </c>
      <c r="J43" s="41">
        <f>SUM(J35:J42)</f>
        <v>315606.90000000002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75816.299999999988</v>
      </c>
      <c r="G44" s="41">
        <f>G43+G33</f>
        <v>1849.3700000000001</v>
      </c>
      <c r="H44" s="41">
        <f>H43+H33</f>
        <v>2938.14</v>
      </c>
      <c r="I44" s="41">
        <f>I43+I33</f>
        <v>0</v>
      </c>
      <c r="J44" s="41">
        <f>J43+J33</f>
        <v>315606.90000000002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1217675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1217675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1151.6500000000001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13375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14526.65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905.19</v>
      </c>
      <c r="G88" s="18"/>
      <c r="H88" s="18"/>
      <c r="I88" s="18"/>
      <c r="J88" s="18">
        <v>1068.75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10687.84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>
        <v>1371</v>
      </c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469.97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2187.6</v>
      </c>
      <c r="G102" s="18"/>
      <c r="H102" s="18"/>
      <c r="I102" s="18"/>
      <c r="J102" s="18">
        <v>10042.75</v>
      </c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3562.76</v>
      </c>
      <c r="G103" s="41">
        <f>SUM(G88:G102)</f>
        <v>10687.84</v>
      </c>
      <c r="H103" s="41">
        <f>SUM(H88:H102)</f>
        <v>1371</v>
      </c>
      <c r="I103" s="41">
        <f>SUM(I88:I102)</f>
        <v>0</v>
      </c>
      <c r="J103" s="41">
        <f>SUM(J88:J102)</f>
        <v>11111.5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1235764.4099999999</v>
      </c>
      <c r="G104" s="41">
        <f>G52+G103</f>
        <v>10687.84</v>
      </c>
      <c r="H104" s="41">
        <f>H52+H71+H86+H103</f>
        <v>1371</v>
      </c>
      <c r="I104" s="41">
        <f>I52+I103</f>
        <v>0</v>
      </c>
      <c r="J104" s="41">
        <f>J52+J103</f>
        <v>11111.5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285812.59999999998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228339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109657.4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623809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12000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8085.36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41660.26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347.09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61745.62</v>
      </c>
      <c r="G128" s="41">
        <f>SUM(G115:G127)</f>
        <v>347.09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685554.62</v>
      </c>
      <c r="G132" s="41">
        <f>G113+SUM(G128:G129)</f>
        <v>347.09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>
        <v>5124.3100000000004</v>
      </c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124.29+10758.7+22034.26</f>
        <v>32917.25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65121.69-H146-H142-H94</f>
        <v>25709.13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11154.27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26645.8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26645.8</v>
      </c>
      <c r="G154" s="41">
        <f>SUM(G142:G153)</f>
        <v>11154.27</v>
      </c>
      <c r="H154" s="41">
        <f>SUM(H142:H153)</f>
        <v>63750.69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1715.74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28361.54</v>
      </c>
      <c r="G161" s="41">
        <f>G139+G154+SUM(G155:G160)</f>
        <v>11154.27</v>
      </c>
      <c r="H161" s="41">
        <f>H139+H154+SUM(H155:H160)</f>
        <v>63750.69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17982.66</v>
      </c>
      <c r="H171" s="18"/>
      <c r="I171" s="18"/>
      <c r="J171" s="18">
        <v>26000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7.46</v>
      </c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7.46</v>
      </c>
      <c r="G175" s="41">
        <f>SUM(G171:G174)</f>
        <v>17982.66</v>
      </c>
      <c r="H175" s="41">
        <f>SUM(H171:H174)</f>
        <v>0</v>
      </c>
      <c r="I175" s="41">
        <f>SUM(I171:I174)</f>
        <v>0</v>
      </c>
      <c r="J175" s="41">
        <f>SUM(J171:J174)</f>
        <v>26000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8390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8390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8397.4599999999991</v>
      </c>
      <c r="G184" s="41">
        <f>G175+SUM(G180:G183)</f>
        <v>17982.66</v>
      </c>
      <c r="H184" s="41">
        <f>+H175+SUM(H180:H183)</f>
        <v>0</v>
      </c>
      <c r="I184" s="41">
        <f>I169+I175+SUM(I180:I183)</f>
        <v>0</v>
      </c>
      <c r="J184" s="41">
        <f>J175</f>
        <v>26000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1958078.0299999998</v>
      </c>
      <c r="G185" s="47">
        <f>G104+G132+G161+G184</f>
        <v>40171.86</v>
      </c>
      <c r="H185" s="47">
        <f>H104+H132+H161+H184</f>
        <v>65121.69</v>
      </c>
      <c r="I185" s="47">
        <f>I104+I132+I161+I184</f>
        <v>0</v>
      </c>
      <c r="J185" s="47">
        <f>J104+J132+J184</f>
        <v>37111.5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315705.84000000003</v>
      </c>
      <c r="G189" s="18">
        <v>83962.51</v>
      </c>
      <c r="H189" s="18">
        <v>27076.17</v>
      </c>
      <c r="I189" s="18">
        <v>12817</v>
      </c>
      <c r="J189" s="18">
        <v>3407.91</v>
      </c>
      <c r="K189" s="18">
        <v>568.28</v>
      </c>
      <c r="L189" s="19">
        <f>SUM(F189:K189)</f>
        <v>443537.71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125016.54</v>
      </c>
      <c r="G190" s="18">
        <v>44409.39</v>
      </c>
      <c r="H190" s="18">
        <v>5652.62</v>
      </c>
      <c r="I190" s="18">
        <v>2131.0300000000002</v>
      </c>
      <c r="J190" s="18">
        <v>238.94</v>
      </c>
      <c r="K190" s="18">
        <v>125</v>
      </c>
      <c r="L190" s="19">
        <f>SUM(F190:K190)</f>
        <v>177573.52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5082.18</v>
      </c>
      <c r="G192" s="18">
        <v>748.65</v>
      </c>
      <c r="H192" s="18">
        <v>336</v>
      </c>
      <c r="I192" s="18">
        <v>6571.75</v>
      </c>
      <c r="J192" s="18"/>
      <c r="K192" s="18">
        <v>1210.25</v>
      </c>
      <c r="L192" s="19">
        <f>SUM(F192:K192)</f>
        <v>13948.83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5349.97</v>
      </c>
      <c r="G194" s="18">
        <v>446.17</v>
      </c>
      <c r="H194" s="18">
        <f>46430.24+358.7</f>
        <v>46788.939999999995</v>
      </c>
      <c r="I194" s="18">
        <v>1134.76</v>
      </c>
      <c r="J194" s="18"/>
      <c r="K194" s="18">
        <v>860</v>
      </c>
      <c r="L194" s="19">
        <f t="shared" ref="L194:L200" si="0">SUM(F194:K194)</f>
        <v>54579.839999999997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57808.44</v>
      </c>
      <c r="G195" s="18">
        <v>24660.86</v>
      </c>
      <c r="H195" s="18">
        <v>6465.44</v>
      </c>
      <c r="I195" s="18">
        <v>2988.67</v>
      </c>
      <c r="J195" s="18"/>
      <c r="K195" s="18">
        <v>396</v>
      </c>
      <c r="L195" s="19">
        <f t="shared" si="0"/>
        <v>92319.41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901.73</v>
      </c>
      <c r="G196" s="18">
        <v>69.03</v>
      </c>
      <c r="H196" s="18">
        <f>52015.73+2490.28</f>
        <v>54506.01</v>
      </c>
      <c r="I196" s="18">
        <v>91.65</v>
      </c>
      <c r="J196" s="18"/>
      <c r="K196" s="18">
        <v>1336.31</v>
      </c>
      <c r="L196" s="19">
        <f t="shared" si="0"/>
        <v>56904.73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70454.16</v>
      </c>
      <c r="G197" s="18">
        <v>19296.259999999998</v>
      </c>
      <c r="H197" s="18">
        <v>3735.05</v>
      </c>
      <c r="I197" s="18">
        <v>1004.21</v>
      </c>
      <c r="J197" s="18">
        <v>94.99</v>
      </c>
      <c r="K197" s="18">
        <v>544</v>
      </c>
      <c r="L197" s="19">
        <f t="shared" si="0"/>
        <v>95128.670000000013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21916.16</v>
      </c>
      <c r="G199" s="18">
        <v>1950.9</v>
      </c>
      <c r="H199" s="18">
        <f>42563.42+712</f>
        <v>43275.42</v>
      </c>
      <c r="I199" s="18">
        <v>28824.78</v>
      </c>
      <c r="J199" s="18"/>
      <c r="K199" s="18">
        <v>300</v>
      </c>
      <c r="L199" s="19">
        <f t="shared" si="0"/>
        <v>96267.26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38396.51</v>
      </c>
      <c r="I200" s="18"/>
      <c r="J200" s="18"/>
      <c r="K200" s="18"/>
      <c r="L200" s="19">
        <f t="shared" si="0"/>
        <v>38396.51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v>1718.29</v>
      </c>
      <c r="I201" s="18"/>
      <c r="J201" s="18"/>
      <c r="K201" s="18"/>
      <c r="L201" s="19">
        <f>SUM(F201:K201)</f>
        <v>1718.29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602235.02</v>
      </c>
      <c r="G203" s="41">
        <f t="shared" si="1"/>
        <v>175543.77</v>
      </c>
      <c r="H203" s="41">
        <f t="shared" si="1"/>
        <v>227950.44999999998</v>
      </c>
      <c r="I203" s="41">
        <f t="shared" si="1"/>
        <v>55563.85</v>
      </c>
      <c r="J203" s="41">
        <f t="shared" si="1"/>
        <v>3741.8399999999997</v>
      </c>
      <c r="K203" s="41">
        <f t="shared" si="1"/>
        <v>5339.84</v>
      </c>
      <c r="L203" s="41">
        <f t="shared" si="1"/>
        <v>1070374.77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514777.97</v>
      </c>
      <c r="I225" s="18"/>
      <c r="J225" s="18"/>
      <c r="K225" s="18"/>
      <c r="L225" s="19">
        <f>SUM(F225:K225)</f>
        <v>514777.97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160678.01</v>
      </c>
      <c r="I226" s="18"/>
      <c r="J226" s="18"/>
      <c r="K226" s="18"/>
      <c r="L226" s="19">
        <f>SUM(F226:K226)</f>
        <v>160678.01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v>46646.080000000002</v>
      </c>
      <c r="I227" s="18"/>
      <c r="J227" s="18"/>
      <c r="K227" s="18"/>
      <c r="L227" s="19">
        <f>SUM(F227:K227)</f>
        <v>46646.080000000002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>
        <v>5960.55</v>
      </c>
      <c r="I228" s="18"/>
      <c r="J228" s="18"/>
      <c r="K228" s="18"/>
      <c r="L228" s="19">
        <f>SUM(F228:K228)</f>
        <v>5960.55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575.77</v>
      </c>
      <c r="G232" s="18">
        <v>44.04</v>
      </c>
      <c r="H232" s="18">
        <f>32894.76+1372.73</f>
        <v>34267.490000000005</v>
      </c>
      <c r="I232" s="18"/>
      <c r="J232" s="18"/>
      <c r="K232" s="18">
        <v>854.36</v>
      </c>
      <c r="L232" s="19">
        <f t="shared" si="4"/>
        <v>35741.660000000003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14180.31</v>
      </c>
      <c r="I236" s="18"/>
      <c r="J236" s="18"/>
      <c r="K236" s="18"/>
      <c r="L236" s="19">
        <f t="shared" si="4"/>
        <v>14180.31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575.77</v>
      </c>
      <c r="G239" s="41">
        <f t="shared" si="5"/>
        <v>44.04</v>
      </c>
      <c r="H239" s="41">
        <f t="shared" si="5"/>
        <v>776510.41</v>
      </c>
      <c r="I239" s="41">
        <f t="shared" si="5"/>
        <v>0</v>
      </c>
      <c r="J239" s="41">
        <f t="shared" si="5"/>
        <v>0</v>
      </c>
      <c r="K239" s="41">
        <f t="shared" si="5"/>
        <v>854.36</v>
      </c>
      <c r="L239" s="41">
        <f t="shared" si="5"/>
        <v>777984.58000000007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602810.79</v>
      </c>
      <c r="G249" s="41">
        <f t="shared" si="8"/>
        <v>175587.81</v>
      </c>
      <c r="H249" s="41">
        <f t="shared" si="8"/>
        <v>1004460.86</v>
      </c>
      <c r="I249" s="41">
        <f t="shared" si="8"/>
        <v>55563.85</v>
      </c>
      <c r="J249" s="41">
        <f t="shared" si="8"/>
        <v>3741.8399999999997</v>
      </c>
      <c r="K249" s="41">
        <f t="shared" si="8"/>
        <v>6194.2</v>
      </c>
      <c r="L249" s="41">
        <f t="shared" si="8"/>
        <v>1848359.35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40000</v>
      </c>
      <c r="L252" s="19">
        <f>SUM(F252:K252)</f>
        <v>40000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5400</v>
      </c>
      <c r="L253" s="19">
        <f>SUM(F253:K253)</f>
        <v>5400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17982.66</v>
      </c>
      <c r="L255" s="19">
        <f>SUM(F255:K255)</f>
        <v>17982.66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26000</v>
      </c>
      <c r="L258" s="19">
        <f t="shared" si="9"/>
        <v>26000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89382.66</v>
      </c>
      <c r="L262" s="41">
        <f t="shared" si="9"/>
        <v>89382.66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602810.79</v>
      </c>
      <c r="G263" s="42">
        <f t="shared" si="11"/>
        <v>175587.81</v>
      </c>
      <c r="H263" s="42">
        <f t="shared" si="11"/>
        <v>1004460.86</v>
      </c>
      <c r="I263" s="42">
        <f t="shared" si="11"/>
        <v>55563.85</v>
      </c>
      <c r="J263" s="42">
        <f t="shared" si="11"/>
        <v>3741.8399999999997</v>
      </c>
      <c r="K263" s="42">
        <f t="shared" si="11"/>
        <v>95576.86</v>
      </c>
      <c r="L263" s="42">
        <f t="shared" si="11"/>
        <v>1937742.01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33791.449999999997</v>
      </c>
      <c r="G269" s="18">
        <v>8480.8700000000008</v>
      </c>
      <c r="H269" s="18"/>
      <c r="I269" s="18">
        <v>5267.52</v>
      </c>
      <c r="J269" s="18">
        <v>3665.29</v>
      </c>
      <c r="K269" s="18"/>
      <c r="L269" s="19">
        <f>SUM(F269:K269)</f>
        <v>51205.13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3450</v>
      </c>
      <c r="G271" s="18">
        <v>556.41999999999996</v>
      </c>
      <c r="H271" s="18"/>
      <c r="I271" s="18"/>
      <c r="J271" s="18"/>
      <c r="K271" s="18"/>
      <c r="L271" s="19">
        <f>SUM(F271:K271)</f>
        <v>4006.42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1363.54</v>
      </c>
      <c r="I273" s="18"/>
      <c r="J273" s="18"/>
      <c r="K273" s="18"/>
      <c r="L273" s="19">
        <f t="shared" ref="L273:L279" si="12">SUM(F273:K273)</f>
        <v>1363.54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v>7905.7</v>
      </c>
      <c r="I274" s="18">
        <v>179.43</v>
      </c>
      <c r="J274" s="18"/>
      <c r="K274" s="18"/>
      <c r="L274" s="19">
        <f t="shared" si="12"/>
        <v>8085.13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454.01</v>
      </c>
      <c r="L275" s="19">
        <f t="shared" si="12"/>
        <v>454.01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37241.449999999997</v>
      </c>
      <c r="G282" s="42">
        <f t="shared" si="13"/>
        <v>9037.2900000000009</v>
      </c>
      <c r="H282" s="42">
        <f t="shared" si="13"/>
        <v>9269.24</v>
      </c>
      <c r="I282" s="42">
        <f t="shared" si="13"/>
        <v>5446.9500000000007</v>
      </c>
      <c r="J282" s="42">
        <f t="shared" si="13"/>
        <v>3665.29</v>
      </c>
      <c r="K282" s="42">
        <f t="shared" si="13"/>
        <v>454.01</v>
      </c>
      <c r="L282" s="41">
        <f t="shared" si="13"/>
        <v>65114.229999999996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37241.449999999997</v>
      </c>
      <c r="G330" s="41">
        <f t="shared" si="20"/>
        <v>9037.2900000000009</v>
      </c>
      <c r="H330" s="41">
        <f t="shared" si="20"/>
        <v>9269.24</v>
      </c>
      <c r="I330" s="41">
        <f t="shared" si="20"/>
        <v>5446.9500000000007</v>
      </c>
      <c r="J330" s="41">
        <f t="shared" si="20"/>
        <v>3665.29</v>
      </c>
      <c r="K330" s="41">
        <f t="shared" si="20"/>
        <v>454.01</v>
      </c>
      <c r="L330" s="41">
        <f t="shared" si="20"/>
        <v>65114.229999999996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7.46</v>
      </c>
      <c r="L336" s="19">
        <f t="shared" ref="L336:L342" si="21">SUM(F336:K336)</f>
        <v>7.46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7.46</v>
      </c>
      <c r="L343" s="41">
        <f>SUM(L333:L342)</f>
        <v>7.46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37241.449999999997</v>
      </c>
      <c r="G344" s="41">
        <f>G330</f>
        <v>9037.2900000000009</v>
      </c>
      <c r="H344" s="41">
        <f>H330</f>
        <v>9269.24</v>
      </c>
      <c r="I344" s="41">
        <f>I330</f>
        <v>5446.9500000000007</v>
      </c>
      <c r="J344" s="41">
        <f>J330</f>
        <v>3665.29</v>
      </c>
      <c r="K344" s="47">
        <f>K330+K343</f>
        <v>461.46999999999997</v>
      </c>
      <c r="L344" s="41">
        <f>L330+L343</f>
        <v>65121.689999999995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18525.8</v>
      </c>
      <c r="G350" s="18">
        <v>4689.75</v>
      </c>
      <c r="H350" s="18">
        <f>562.14+686</f>
        <v>1248.1399999999999</v>
      </c>
      <c r="I350" s="18">
        <v>16260.92</v>
      </c>
      <c r="J350" s="18">
        <v>5415.26</v>
      </c>
      <c r="K350" s="18">
        <v>133.25</v>
      </c>
      <c r="L350" s="13">
        <f>SUM(F350:K350)</f>
        <v>46273.120000000003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18525.8</v>
      </c>
      <c r="G354" s="47">
        <f t="shared" si="22"/>
        <v>4689.75</v>
      </c>
      <c r="H354" s="47">
        <f t="shared" si="22"/>
        <v>1248.1399999999999</v>
      </c>
      <c r="I354" s="47">
        <f t="shared" si="22"/>
        <v>16260.92</v>
      </c>
      <c r="J354" s="47">
        <f t="shared" si="22"/>
        <v>5415.26</v>
      </c>
      <c r="K354" s="47">
        <f t="shared" si="22"/>
        <v>133.25</v>
      </c>
      <c r="L354" s="47">
        <f t="shared" si="22"/>
        <v>46273.120000000003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15301.98</v>
      </c>
      <c r="G359" s="18"/>
      <c r="H359" s="18"/>
      <c r="I359" s="56">
        <f>SUM(F359:H359)</f>
        <v>15301.98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958.94</v>
      </c>
      <c r="G360" s="63"/>
      <c r="H360" s="63"/>
      <c r="I360" s="56">
        <f>SUM(F360:H360)</f>
        <v>958.94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16260.92</v>
      </c>
      <c r="G361" s="47">
        <f>SUM(G359:G360)</f>
        <v>0</v>
      </c>
      <c r="H361" s="47">
        <f>SUM(H359:H360)</f>
        <v>0</v>
      </c>
      <c r="I361" s="47">
        <f>SUM(I359:I360)</f>
        <v>16260.92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68.83</v>
      </c>
      <c r="I380" s="18"/>
      <c r="J380" s="24" t="s">
        <v>312</v>
      </c>
      <c r="K380" s="24" t="s">
        <v>312</v>
      </c>
      <c r="L380" s="56">
        <f t="shared" si="25"/>
        <v>68.83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68.83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68.83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22.52</v>
      </c>
      <c r="I388" s="18"/>
      <c r="J388" s="24" t="s">
        <v>312</v>
      </c>
      <c r="K388" s="24" t="s">
        <v>312</v>
      </c>
      <c r="L388" s="56">
        <f t="shared" si="26"/>
        <v>22.52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15000</v>
      </c>
      <c r="H389" s="18">
        <v>36.69</v>
      </c>
      <c r="I389" s="18"/>
      <c r="J389" s="24" t="s">
        <v>312</v>
      </c>
      <c r="K389" s="24" t="s">
        <v>312</v>
      </c>
      <c r="L389" s="56">
        <f t="shared" si="26"/>
        <v>15036.69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6000</v>
      </c>
      <c r="H390" s="18">
        <v>35.26</v>
      </c>
      <c r="I390" s="18"/>
      <c r="J390" s="24" t="s">
        <v>312</v>
      </c>
      <c r="K390" s="24" t="s">
        <v>312</v>
      </c>
      <c r="L390" s="56">
        <f t="shared" si="26"/>
        <v>6035.26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>
        <v>5000</v>
      </c>
      <c r="H391" s="18">
        <v>8.4600000000000009</v>
      </c>
      <c r="I391" s="18"/>
      <c r="J391" s="24" t="s">
        <v>312</v>
      </c>
      <c r="K391" s="24" t="s">
        <v>312</v>
      </c>
      <c r="L391" s="56">
        <f t="shared" si="26"/>
        <v>5008.46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896.99</v>
      </c>
      <c r="I392" s="18">
        <f>10042.75</f>
        <v>10042.75</v>
      </c>
      <c r="J392" s="24" t="s">
        <v>312</v>
      </c>
      <c r="K392" s="24" t="s">
        <v>312</v>
      </c>
      <c r="L392" s="56">
        <f t="shared" si="26"/>
        <v>10939.74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26000</v>
      </c>
      <c r="H393" s="47">
        <f>SUM(H387:H392)</f>
        <v>999.92000000000007</v>
      </c>
      <c r="I393" s="47">
        <f>SUM(I387:I392)</f>
        <v>10042.75</v>
      </c>
      <c r="J393" s="45" t="s">
        <v>312</v>
      </c>
      <c r="K393" s="45" t="s">
        <v>312</v>
      </c>
      <c r="L393" s="47">
        <f>SUM(L387:L392)</f>
        <v>37042.67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26000</v>
      </c>
      <c r="H400" s="47">
        <f>H385+H393+H399</f>
        <v>1068.75</v>
      </c>
      <c r="I400" s="47">
        <f>I385+I393+I399</f>
        <v>10042.75</v>
      </c>
      <c r="J400" s="24" t="s">
        <v>312</v>
      </c>
      <c r="K400" s="24" t="s">
        <v>312</v>
      </c>
      <c r="L400" s="47">
        <f>L385+L393+L399</f>
        <v>37111.5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>
        <v>3390</v>
      </c>
      <c r="L417" s="56">
        <f t="shared" si="29"/>
        <v>3390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>
        <f>5000+4531.01</f>
        <v>9531.01</v>
      </c>
      <c r="L418" s="56">
        <f t="shared" si="29"/>
        <v>9531.01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12921.01</v>
      </c>
      <c r="L419" s="47">
        <f t="shared" si="30"/>
        <v>12921.01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12921.01</v>
      </c>
      <c r="L426" s="47">
        <f t="shared" si="32"/>
        <v>12921.01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95724.78</v>
      </c>
      <c r="G432" s="18">
        <f>315606.9-F432</f>
        <v>219882.12000000002</v>
      </c>
      <c r="H432" s="18"/>
      <c r="I432" s="56">
        <f t="shared" si="33"/>
        <v>315606.90000000002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95724.78</v>
      </c>
      <c r="G438" s="13">
        <f>SUM(G431:G437)</f>
        <v>219882.12000000002</v>
      </c>
      <c r="H438" s="13">
        <f>SUM(H431:H437)</f>
        <v>0</v>
      </c>
      <c r="I438" s="13">
        <f>SUM(I431:I437)</f>
        <v>315606.90000000002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f>F432</f>
        <v>95724.78</v>
      </c>
      <c r="G449" s="18">
        <f>G432</f>
        <v>219882.12000000002</v>
      </c>
      <c r="H449" s="18"/>
      <c r="I449" s="56">
        <f>SUM(F449:H449)</f>
        <v>315606.90000000002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95724.78</v>
      </c>
      <c r="G450" s="83">
        <f>SUM(G446:G449)</f>
        <v>219882.12000000002</v>
      </c>
      <c r="H450" s="83">
        <f>SUM(H446:H449)</f>
        <v>0</v>
      </c>
      <c r="I450" s="83">
        <f>SUM(I446:I449)</f>
        <v>315606.90000000002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95724.78</v>
      </c>
      <c r="G451" s="42">
        <f>G444+G450</f>
        <v>219882.12000000002</v>
      </c>
      <c r="H451" s="42">
        <f>H444+H450</f>
        <v>0</v>
      </c>
      <c r="I451" s="42">
        <f>I444+I450</f>
        <v>315606.90000000002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41995.859999999637</v>
      </c>
      <c r="G455" s="18">
        <v>0</v>
      </c>
      <c r="H455" s="18">
        <v>0</v>
      </c>
      <c r="I455" s="18">
        <v>0</v>
      </c>
      <c r="J455" s="18">
        <v>291416.40999999997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1958078.03</v>
      </c>
      <c r="G458" s="18">
        <v>40171.86</v>
      </c>
      <c r="H458" s="18">
        <v>65121.69</v>
      </c>
      <c r="I458" s="18"/>
      <c r="J458" s="18">
        <f>1068.75+10042.75+26000</f>
        <v>37111.5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>
        <v>6101.26</v>
      </c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1958078.03</v>
      </c>
      <c r="G460" s="53">
        <f>SUM(G458:G459)</f>
        <v>46273.120000000003</v>
      </c>
      <c r="H460" s="53">
        <f>SUM(H458:H459)</f>
        <v>65121.69</v>
      </c>
      <c r="I460" s="53">
        <f>SUM(I458:I459)</f>
        <v>0</v>
      </c>
      <c r="J460" s="53">
        <f>SUM(J458:J459)</f>
        <v>37111.5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1936992.01+750</f>
        <v>1937742.01</v>
      </c>
      <c r="G462" s="18">
        <f>40171.86+6101.26</f>
        <v>46273.120000000003</v>
      </c>
      <c r="H462" s="18">
        <v>65121.69</v>
      </c>
      <c r="I462" s="18"/>
      <c r="J462" s="18">
        <f>8390+4531.01</f>
        <v>12921.01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6101.26</v>
      </c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1943843.27</v>
      </c>
      <c r="G464" s="53">
        <f>SUM(G462:G463)</f>
        <v>46273.120000000003</v>
      </c>
      <c r="H464" s="53">
        <f>SUM(H462:H463)</f>
        <v>65121.69</v>
      </c>
      <c r="I464" s="53">
        <f>SUM(I462:I463)</f>
        <v>0</v>
      </c>
      <c r="J464" s="53">
        <f>SUM(J462:J463)</f>
        <v>12921.01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56230.619999999646</v>
      </c>
      <c r="G466" s="53">
        <f>(G455+G460)- G464</f>
        <v>0</v>
      </c>
      <c r="H466" s="53">
        <f>(H455+H460)- H464</f>
        <v>0</v>
      </c>
      <c r="I466" s="53">
        <f>(I455+I460)- I464</f>
        <v>0</v>
      </c>
      <c r="J466" s="53">
        <f>(J455+J460)- J464</f>
        <v>315606.89999999997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 t="s">
        <v>899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8" t="s">
        <v>900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>
        <v>5</v>
      </c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271" t="s">
        <v>895</v>
      </c>
      <c r="G481" s="155" t="s">
        <v>896</v>
      </c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897</v>
      </c>
      <c r="G482" s="155" t="s">
        <v>898</v>
      </c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850000</v>
      </c>
      <c r="G483" s="18">
        <v>8154.09</v>
      </c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6.75</v>
      </c>
      <c r="G484" s="18">
        <v>4.5</v>
      </c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80000</v>
      </c>
      <c r="G485" s="18">
        <f>8154.09-1491.28-1557.38</f>
        <v>5105.43</v>
      </c>
      <c r="H485" s="18"/>
      <c r="I485" s="18"/>
      <c r="J485" s="18"/>
      <c r="K485" s="53">
        <f>SUM(F485:J485)</f>
        <v>85105.43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40000</v>
      </c>
      <c r="G487" s="18">
        <v>1627.47</v>
      </c>
      <c r="H487" s="18"/>
      <c r="I487" s="18"/>
      <c r="J487" s="18"/>
      <c r="K487" s="53">
        <f t="shared" si="34"/>
        <v>41627.47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40000</v>
      </c>
      <c r="G488" s="205">
        <f>G483-G487</f>
        <v>6526.62</v>
      </c>
      <c r="H488" s="205"/>
      <c r="I488" s="205"/>
      <c r="J488" s="205"/>
      <c r="K488" s="206">
        <f t="shared" si="34"/>
        <v>46526.62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1350*2</f>
        <v>2700</v>
      </c>
      <c r="G489" s="18">
        <f>79.95+156.51</f>
        <v>236.45999999999998</v>
      </c>
      <c r="H489" s="18"/>
      <c r="I489" s="18"/>
      <c r="J489" s="18"/>
      <c r="K489" s="53">
        <f t="shared" si="34"/>
        <v>2936.46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42700</v>
      </c>
      <c r="G490" s="42">
        <f>SUM(G488:G489)</f>
        <v>6763.08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49463.08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40000</v>
      </c>
      <c r="G491" s="205">
        <v>1700.7</v>
      </c>
      <c r="H491" s="205"/>
      <c r="I491" s="205"/>
      <c r="J491" s="205"/>
      <c r="K491" s="206">
        <f t="shared" si="34"/>
        <v>41700.699999999997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2700</v>
      </c>
      <c r="G492" s="18">
        <v>156.51</v>
      </c>
      <c r="H492" s="18"/>
      <c r="I492" s="18"/>
      <c r="J492" s="18"/>
      <c r="K492" s="53">
        <f t="shared" si="34"/>
        <v>2856.51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42700</v>
      </c>
      <c r="G493" s="42">
        <f>SUM(G491:G492)</f>
        <v>1857.21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44557.21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131866.54</v>
      </c>
      <c r="G511" s="18">
        <v>45560.86</v>
      </c>
      <c r="H511" s="18">
        <v>5652.62</v>
      </c>
      <c r="I511" s="18">
        <v>6292.45</v>
      </c>
      <c r="J511" s="18">
        <v>238.94</v>
      </c>
      <c r="K511" s="18">
        <v>125</v>
      </c>
      <c r="L511" s="88">
        <f>SUM(F511:K511)</f>
        <v>189736.41000000003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160678.01</v>
      </c>
      <c r="I513" s="18"/>
      <c r="J513" s="18"/>
      <c r="K513" s="18"/>
      <c r="L513" s="88">
        <f>SUM(F513:K513)</f>
        <v>160678.01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131866.54</v>
      </c>
      <c r="G514" s="108">
        <f t="shared" ref="G514:L514" si="35">SUM(G511:G513)</f>
        <v>45560.86</v>
      </c>
      <c r="H514" s="108">
        <f t="shared" si="35"/>
        <v>166330.63</v>
      </c>
      <c r="I514" s="108">
        <f t="shared" si="35"/>
        <v>6292.45</v>
      </c>
      <c r="J514" s="108">
        <f t="shared" si="35"/>
        <v>238.94</v>
      </c>
      <c r="K514" s="108">
        <f t="shared" si="35"/>
        <v>125</v>
      </c>
      <c r="L514" s="89">
        <f t="shared" si="35"/>
        <v>350414.42000000004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32782.480000000003</v>
      </c>
      <c r="I516" s="18">
        <v>275</v>
      </c>
      <c r="J516" s="18"/>
      <c r="K516" s="18"/>
      <c r="L516" s="88">
        <f>SUM(F516:K516)</f>
        <v>33057.480000000003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32782.480000000003</v>
      </c>
      <c r="I519" s="89">
        <f t="shared" si="36"/>
        <v>275</v>
      </c>
      <c r="J519" s="89">
        <f t="shared" si="36"/>
        <v>0</v>
      </c>
      <c r="K519" s="89">
        <f t="shared" si="36"/>
        <v>0</v>
      </c>
      <c r="L519" s="89">
        <f t="shared" si="36"/>
        <v>33057.480000000003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11291</v>
      </c>
      <c r="I521" s="18"/>
      <c r="J521" s="18"/>
      <c r="K521" s="18"/>
      <c r="L521" s="88">
        <f>SUM(F521:K521)</f>
        <v>11291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6921</v>
      </c>
      <c r="I523" s="18"/>
      <c r="J523" s="18"/>
      <c r="K523" s="18"/>
      <c r="L523" s="88">
        <f>SUM(F523:K523)</f>
        <v>6921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18212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18212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9320.9599999999991</v>
      </c>
      <c r="I531" s="18"/>
      <c r="J531" s="18"/>
      <c r="K531" s="18"/>
      <c r="L531" s="88">
        <f>SUM(F531:K531)</f>
        <v>9320.9599999999991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9320.9599999999991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9320.9599999999991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131866.54</v>
      </c>
      <c r="G535" s="89">
        <f t="shared" ref="G535:L535" si="40">G514+G519+G524+G529+G534</f>
        <v>45560.86</v>
      </c>
      <c r="H535" s="89">
        <f t="shared" si="40"/>
        <v>226646.07</v>
      </c>
      <c r="I535" s="89">
        <f t="shared" si="40"/>
        <v>6567.45</v>
      </c>
      <c r="J535" s="89">
        <f t="shared" si="40"/>
        <v>238.94</v>
      </c>
      <c r="K535" s="89">
        <f t="shared" si="40"/>
        <v>125</v>
      </c>
      <c r="L535" s="89">
        <f t="shared" si="40"/>
        <v>411004.86000000004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189736.41000000003</v>
      </c>
      <c r="G539" s="87">
        <f>L516</f>
        <v>33057.480000000003</v>
      </c>
      <c r="H539" s="87">
        <f>L521</f>
        <v>11291</v>
      </c>
      <c r="I539" s="87">
        <f>L526</f>
        <v>0</v>
      </c>
      <c r="J539" s="87">
        <f>L531</f>
        <v>9320.9599999999991</v>
      </c>
      <c r="K539" s="87">
        <f>SUM(F539:J539)</f>
        <v>243405.85000000003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160678.01</v>
      </c>
      <c r="G541" s="87">
        <f>L518</f>
        <v>0</v>
      </c>
      <c r="H541" s="87">
        <f>L523</f>
        <v>6921</v>
      </c>
      <c r="I541" s="87">
        <f>L528</f>
        <v>0</v>
      </c>
      <c r="J541" s="87">
        <f>L533</f>
        <v>0</v>
      </c>
      <c r="K541" s="87">
        <f>SUM(F541:J541)</f>
        <v>167599.01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350414.42000000004</v>
      </c>
      <c r="G542" s="89">
        <f t="shared" si="41"/>
        <v>33057.480000000003</v>
      </c>
      <c r="H542" s="89">
        <f t="shared" si="41"/>
        <v>18212</v>
      </c>
      <c r="I542" s="89">
        <f t="shared" si="41"/>
        <v>0</v>
      </c>
      <c r="J542" s="89">
        <f t="shared" si="41"/>
        <v>9320.9599999999991</v>
      </c>
      <c r="K542" s="89">
        <f t="shared" si="41"/>
        <v>411004.86000000004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v>26941.45</v>
      </c>
      <c r="G547" s="18">
        <v>7329.4</v>
      </c>
      <c r="H547" s="18"/>
      <c r="I547" s="18">
        <v>1106.0999999999999</v>
      </c>
      <c r="J547" s="18">
        <v>3665.29</v>
      </c>
      <c r="K547" s="18"/>
      <c r="L547" s="88">
        <f>SUM(F547:K547)</f>
        <v>39042.239999999998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26941.45</v>
      </c>
      <c r="G550" s="108">
        <f t="shared" si="42"/>
        <v>7329.4</v>
      </c>
      <c r="H550" s="108">
        <f t="shared" si="42"/>
        <v>0</v>
      </c>
      <c r="I550" s="108">
        <f t="shared" si="42"/>
        <v>1106.0999999999999</v>
      </c>
      <c r="J550" s="108">
        <f t="shared" si="42"/>
        <v>3665.29</v>
      </c>
      <c r="K550" s="108">
        <f t="shared" si="42"/>
        <v>0</v>
      </c>
      <c r="L550" s="89">
        <f t="shared" si="42"/>
        <v>39042.239999999998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26941.45</v>
      </c>
      <c r="G561" s="89">
        <f t="shared" ref="G561:L561" si="45">G550+G555+G560</f>
        <v>7329.4</v>
      </c>
      <c r="H561" s="89">
        <f t="shared" si="45"/>
        <v>0</v>
      </c>
      <c r="I561" s="89">
        <f t="shared" si="45"/>
        <v>1106.0999999999999</v>
      </c>
      <c r="J561" s="89">
        <f t="shared" si="45"/>
        <v>3665.29</v>
      </c>
      <c r="K561" s="89">
        <f t="shared" si="45"/>
        <v>0</v>
      </c>
      <c r="L561" s="89">
        <f t="shared" si="45"/>
        <v>39042.239999999998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127688.7</v>
      </c>
      <c r="I565" s="87">
        <f>SUM(F565:H565)</f>
        <v>127688.7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>
        <v>387089.27</v>
      </c>
      <c r="I566" s="87">
        <f t="shared" ref="I566:I577" si="46">SUM(F566:H566)</f>
        <v>387089.27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42001.62</v>
      </c>
      <c r="I569" s="87">
        <f t="shared" si="46"/>
        <v>42001.62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>
        <v>16158.72</v>
      </c>
      <c r="I570" s="87">
        <f t="shared" si="46"/>
        <v>16158.72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>
        <v>40607.5</v>
      </c>
      <c r="I572" s="87">
        <f t="shared" si="46"/>
        <v>40607.5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60818.82</v>
      </c>
      <c r="I573" s="87">
        <f t="shared" si="46"/>
        <v>60818.82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>
        <v>46646.080000000002</v>
      </c>
      <c r="I575" s="87">
        <f t="shared" si="46"/>
        <v>46646.080000000002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27827.759999999998</v>
      </c>
      <c r="I581" s="18"/>
      <c r="J581" s="18">
        <v>14180.31</v>
      </c>
      <c r="K581" s="104">
        <f t="shared" ref="K581:K587" si="47">SUM(H581:J581)</f>
        <v>42008.07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9320.9599999999991</v>
      </c>
      <c r="I582" s="18"/>
      <c r="J582" s="18"/>
      <c r="K582" s="104">
        <f t="shared" si="47"/>
        <v>9320.9599999999991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1247.79</v>
      </c>
      <c r="I585" s="18"/>
      <c r="J585" s="18"/>
      <c r="K585" s="104">
        <f t="shared" si="47"/>
        <v>1247.79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38396.51</v>
      </c>
      <c r="I588" s="108">
        <f>SUM(I581:I587)</f>
        <v>0</v>
      </c>
      <c r="J588" s="108">
        <f>SUM(J581:J587)</f>
        <v>14180.31</v>
      </c>
      <c r="K588" s="108">
        <f>SUM(K581:K587)</f>
        <v>52576.82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12822.39-5415.26</f>
        <v>7407.1299999999992</v>
      </c>
      <c r="I594" s="18"/>
      <c r="J594" s="18"/>
      <c r="K594" s="104">
        <f>SUM(H594:J594)</f>
        <v>7407.1299999999992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7407.1299999999992</v>
      </c>
      <c r="I595" s="108">
        <f>SUM(I592:I594)</f>
        <v>0</v>
      </c>
      <c r="J595" s="108">
        <f>SUM(J592:J594)</f>
        <v>0</v>
      </c>
      <c r="K595" s="108">
        <f>SUM(K592:K594)</f>
        <v>7407.1299999999992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7782.18</v>
      </c>
      <c r="G601" s="18">
        <v>1247.7</v>
      </c>
      <c r="H601" s="18">
        <v>336</v>
      </c>
      <c r="I601" s="18"/>
      <c r="J601" s="18"/>
      <c r="K601" s="18"/>
      <c r="L601" s="88">
        <f>SUM(F601:K601)</f>
        <v>9365.880000000001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>
        <v>5960.55</v>
      </c>
      <c r="I603" s="18"/>
      <c r="J603" s="18"/>
      <c r="K603" s="18"/>
      <c r="L603" s="88">
        <f>SUM(F603:K603)</f>
        <v>5960.55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7782.18</v>
      </c>
      <c r="G604" s="108">
        <f t="shared" si="48"/>
        <v>1247.7</v>
      </c>
      <c r="H604" s="108">
        <f t="shared" si="48"/>
        <v>6296.55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15326.43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75816.3</v>
      </c>
      <c r="H607" s="109">
        <f>SUM(F44)</f>
        <v>75816.299999999988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1849.37</v>
      </c>
      <c r="H608" s="109">
        <f>SUM(G44)</f>
        <v>1849.3700000000001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2938.14</v>
      </c>
      <c r="H609" s="109">
        <f>SUM(H44)</f>
        <v>2938.14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315606.90000000002</v>
      </c>
      <c r="H611" s="109">
        <f>SUM(J44)</f>
        <v>315606.90000000002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56230.619999999995</v>
      </c>
      <c r="H612" s="109">
        <f>F466</f>
        <v>56230.619999999646</v>
      </c>
      <c r="I612" s="121" t="s">
        <v>106</v>
      </c>
      <c r="J612" s="109">
        <f t="shared" ref="J612:J645" si="49">G612-H612</f>
        <v>3.4924596548080444E-10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315606.90000000002</v>
      </c>
      <c r="H616" s="109">
        <f>J466</f>
        <v>315606.89999999997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1958078.0299999998</v>
      </c>
      <c r="H617" s="104">
        <f>SUM(F458)</f>
        <v>1958078.03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40171.86</v>
      </c>
      <c r="H618" s="104">
        <f>SUM(G458)</f>
        <v>40171.86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65121.69</v>
      </c>
      <c r="H619" s="104">
        <f>SUM(H458)</f>
        <v>65121.69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37111.5</v>
      </c>
      <c r="H621" s="104">
        <f>SUM(J458)</f>
        <v>37111.5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1937742.01</v>
      </c>
      <c r="H622" s="104">
        <f>SUM(F462)</f>
        <v>1937742.01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65121.689999999995</v>
      </c>
      <c r="H623" s="104">
        <f>SUM(H462)</f>
        <v>65121.69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16260.92</v>
      </c>
      <c r="H624" s="104">
        <f>I361</f>
        <v>16260.92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46273.120000000003</v>
      </c>
      <c r="H625" s="104">
        <f>SUM(G462)</f>
        <v>46273.120000000003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37111.5</v>
      </c>
      <c r="H627" s="164">
        <f>SUM(J458)</f>
        <v>37111.5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12921.01</v>
      </c>
      <c r="H628" s="164">
        <f>SUM(J462)</f>
        <v>12921.01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95724.78</v>
      </c>
      <c r="H629" s="104">
        <f>SUM(F451)</f>
        <v>95724.78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219882.12000000002</v>
      </c>
      <c r="H630" s="104">
        <f>SUM(G451)</f>
        <v>219882.12000000002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315606.90000000002</v>
      </c>
      <c r="H632" s="104">
        <f>SUM(I451)</f>
        <v>315606.90000000002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1068.75</v>
      </c>
      <c r="H634" s="104">
        <f>H400</f>
        <v>1068.75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26000</v>
      </c>
      <c r="H635" s="104">
        <f>G400</f>
        <v>26000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37111.5</v>
      </c>
      <c r="H636" s="104">
        <f>L400</f>
        <v>37111.5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52576.82</v>
      </c>
      <c r="H637" s="104">
        <f>L200+L218+L236</f>
        <v>52576.82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7407.1299999999992</v>
      </c>
      <c r="H638" s="104">
        <f>(J249+J330)-(J247+J328)</f>
        <v>7407.1299999999992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38396.51</v>
      </c>
      <c r="H639" s="104">
        <f>H588</f>
        <v>38396.51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14180.31</v>
      </c>
      <c r="H641" s="104">
        <f>J588</f>
        <v>14180.31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17982.66</v>
      </c>
      <c r="H642" s="104">
        <f>K255+K337</f>
        <v>17982.66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26000</v>
      </c>
      <c r="H645" s="104">
        <f>K258+K339</f>
        <v>26000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1181762.1200000001</v>
      </c>
      <c r="G650" s="19">
        <f>(L221+L301+L351)</f>
        <v>0</v>
      </c>
      <c r="H650" s="19">
        <f>(L239+L320+L352)</f>
        <v>777984.58000000007</v>
      </c>
      <c r="I650" s="19">
        <f>SUM(F650:H650)</f>
        <v>1959746.7000000002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10687.84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10687.84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38396.51</v>
      </c>
      <c r="G652" s="19">
        <f>(L218+L298)-(J218+J298)</f>
        <v>0</v>
      </c>
      <c r="H652" s="19">
        <f>(L236+L317)-(J236+J317)</f>
        <v>14180.31</v>
      </c>
      <c r="I652" s="19">
        <f>SUM(F652:H652)</f>
        <v>52576.82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16773.010000000002</v>
      </c>
      <c r="G653" s="200">
        <f>SUM(G565:G577)+SUM(I592:I594)+L602</f>
        <v>0</v>
      </c>
      <c r="H653" s="200">
        <f>SUM(H565:H577)+SUM(J592:J594)+L603</f>
        <v>726971.26</v>
      </c>
      <c r="I653" s="19">
        <f>SUM(F653:H653)</f>
        <v>743744.27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1115904.76</v>
      </c>
      <c r="G654" s="19">
        <f>G650-SUM(G651:G653)</f>
        <v>0</v>
      </c>
      <c r="H654" s="19">
        <f>H650-SUM(H651:H653)</f>
        <v>36833.010000000009</v>
      </c>
      <c r="I654" s="19">
        <f>I650-SUM(I651:I653)</f>
        <v>1152737.77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69.39</v>
      </c>
      <c r="G655" s="249"/>
      <c r="H655" s="249"/>
      <c r="I655" s="19">
        <f>SUM(F655:H655)</f>
        <v>69.39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16081.64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16612.45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-36833.01</v>
      </c>
      <c r="I659" s="19">
        <f>SUM(F659:H659)</f>
        <v>-36833.01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16081.64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16081.64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0B53-A1E9-456B-A9FC-032CA4A34349}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PIERMONT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5" t="s">
        <v>818</v>
      </c>
      <c r="B3" s="275"/>
      <c r="C3" s="275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4" t="s">
        <v>817</v>
      </c>
      <c r="C6" s="274"/>
    </row>
    <row r="7" spans="1:3" x14ac:dyDescent="0.2">
      <c r="A7" s="240" t="s">
        <v>820</v>
      </c>
      <c r="B7" s="272" t="s">
        <v>816</v>
      </c>
      <c r="C7" s="273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315705.84000000003</v>
      </c>
      <c r="C9" s="230">
        <f>'DOE25'!G189+'DOE25'!G207+'DOE25'!G225+'DOE25'!G268+'DOE25'!G287+'DOE25'!G306</f>
        <v>83962.51</v>
      </c>
    </row>
    <row r="10" spans="1:3" x14ac:dyDescent="0.2">
      <c r="A10" t="s">
        <v>813</v>
      </c>
      <c r="B10" s="241">
        <v>306458.39</v>
      </c>
      <c r="C10" s="241">
        <v>83254.63</v>
      </c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>
        <v>9247.4500000000007</v>
      </c>
      <c r="C12" s="241">
        <v>707.88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315705.84000000003</v>
      </c>
      <c r="C13" s="232">
        <f>SUM(C10:C12)</f>
        <v>83962.510000000009</v>
      </c>
    </row>
    <row r="14" spans="1:3" x14ac:dyDescent="0.2">
      <c r="B14" s="231"/>
      <c r="C14" s="231"/>
    </row>
    <row r="15" spans="1:3" x14ac:dyDescent="0.2">
      <c r="B15" s="274" t="s">
        <v>817</v>
      </c>
      <c r="C15" s="274"/>
    </row>
    <row r="16" spans="1:3" x14ac:dyDescent="0.2">
      <c r="A16" s="240" t="s">
        <v>821</v>
      </c>
      <c r="B16" s="272" t="s">
        <v>738</v>
      </c>
      <c r="C16" s="273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158807.99</v>
      </c>
      <c r="C18" s="230">
        <f>'DOE25'!G190+'DOE25'!G208+'DOE25'!G226+'DOE25'!G269+'DOE25'!G288+'DOE25'!G307</f>
        <v>52890.26</v>
      </c>
    </row>
    <row r="19" spans="1:3" x14ac:dyDescent="0.2">
      <c r="A19" t="s">
        <v>813</v>
      </c>
      <c r="B19" s="241">
        <v>74230.42</v>
      </c>
      <c r="C19" s="241">
        <v>15864.4</v>
      </c>
    </row>
    <row r="20" spans="1:3" x14ac:dyDescent="0.2">
      <c r="A20" t="s">
        <v>814</v>
      </c>
      <c r="B20" s="241">
        <v>83295.070000000007</v>
      </c>
      <c r="C20" s="241">
        <v>36927.769999999997</v>
      </c>
    </row>
    <row r="21" spans="1:3" x14ac:dyDescent="0.2">
      <c r="A21" t="s">
        <v>815</v>
      </c>
      <c r="B21" s="241">
        <v>1282.5</v>
      </c>
      <c r="C21" s="241">
        <v>98.09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158807.99</v>
      </c>
      <c r="C22" s="232">
        <f>SUM(C19:C21)</f>
        <v>52890.259999999995</v>
      </c>
    </row>
    <row r="23" spans="1:3" x14ac:dyDescent="0.2">
      <c r="B23" s="231"/>
      <c r="C23" s="231"/>
    </row>
    <row r="24" spans="1:3" x14ac:dyDescent="0.2">
      <c r="B24" s="274" t="s">
        <v>817</v>
      </c>
      <c r="C24" s="274"/>
    </row>
    <row r="25" spans="1:3" x14ac:dyDescent="0.2">
      <c r="A25" s="240" t="s">
        <v>822</v>
      </c>
      <c r="B25" s="272" t="s">
        <v>739</v>
      </c>
      <c r="C25" s="273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4" t="s">
        <v>817</v>
      </c>
      <c r="C33" s="274"/>
    </row>
    <row r="34" spans="1:3" x14ac:dyDescent="0.2">
      <c r="A34" s="240" t="s">
        <v>823</v>
      </c>
      <c r="B34" s="272" t="s">
        <v>740</v>
      </c>
      <c r="C34" s="273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8532.18</v>
      </c>
      <c r="C36" s="236">
        <f>'DOE25'!G192+'DOE25'!G210+'DOE25'!G228+'DOE25'!G271+'DOE25'!G290+'DOE25'!G309</f>
        <v>1305.07</v>
      </c>
    </row>
    <row r="37" spans="1:3" x14ac:dyDescent="0.2">
      <c r="A37" t="s">
        <v>813</v>
      </c>
      <c r="B37" s="241">
        <v>2100</v>
      </c>
      <c r="C37" s="241">
        <v>229.03</v>
      </c>
    </row>
    <row r="38" spans="1:3" x14ac:dyDescent="0.2">
      <c r="A38" t="s">
        <v>814</v>
      </c>
      <c r="B38" s="241">
        <v>5682.18</v>
      </c>
      <c r="C38" s="241">
        <v>1018.67</v>
      </c>
    </row>
    <row r="39" spans="1:3" x14ac:dyDescent="0.2">
      <c r="A39" t="s">
        <v>815</v>
      </c>
      <c r="B39" s="241">
        <v>750</v>
      </c>
      <c r="C39" s="241">
        <v>57.37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8532.18</v>
      </c>
      <c r="C40" s="232">
        <f>SUM(C37:C39)</f>
        <v>1305.07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1A717-3B0C-46E9-BBD5-3A56E5C623B8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824</v>
      </c>
      <c r="B1" s="279"/>
      <c r="C1" s="279"/>
      <c r="D1" s="279"/>
      <c r="E1" s="279"/>
      <c r="F1" s="279"/>
      <c r="G1" s="279"/>
      <c r="H1" s="279"/>
      <c r="I1" s="181"/>
    </row>
    <row r="2" spans="1:9" x14ac:dyDescent="0.2">
      <c r="A2" s="33" t="s">
        <v>748</v>
      </c>
      <c r="B2" s="266" t="str">
        <f>'DOE25'!A2</f>
        <v>PIERMONT SCHOOL DISTRICT</v>
      </c>
      <c r="C2" s="181"/>
      <c r="D2" s="181" t="s">
        <v>826</v>
      </c>
      <c r="E2" s="181" t="s">
        <v>828</v>
      </c>
      <c r="F2" s="276" t="s">
        <v>855</v>
      </c>
      <c r="G2" s="277"/>
      <c r="H2" s="278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1363122.67</v>
      </c>
      <c r="D5" s="20">
        <f>SUM('DOE25'!L189:L192)+SUM('DOE25'!L207:L210)+SUM('DOE25'!L225:L228)-F5-G5</f>
        <v>1357572.2899999998</v>
      </c>
      <c r="E5" s="244"/>
      <c r="F5" s="256">
        <f>SUM('DOE25'!J189:J192)+SUM('DOE25'!J207:J210)+SUM('DOE25'!J225:J228)</f>
        <v>3646.85</v>
      </c>
      <c r="G5" s="53">
        <f>SUM('DOE25'!K189:K192)+SUM('DOE25'!K207:K210)+SUM('DOE25'!K225:K228)</f>
        <v>1903.53</v>
      </c>
      <c r="H5" s="260"/>
    </row>
    <row r="6" spans="1:9" x14ac:dyDescent="0.2">
      <c r="A6" s="32">
        <v>2100</v>
      </c>
      <c r="B6" t="s">
        <v>835</v>
      </c>
      <c r="C6" s="246">
        <f t="shared" si="0"/>
        <v>54579.839999999997</v>
      </c>
      <c r="D6" s="20">
        <f>'DOE25'!L194+'DOE25'!L212+'DOE25'!L230-F6-G6</f>
        <v>53719.839999999997</v>
      </c>
      <c r="E6" s="244"/>
      <c r="F6" s="256">
        <f>'DOE25'!J194+'DOE25'!J212+'DOE25'!J230</f>
        <v>0</v>
      </c>
      <c r="G6" s="53">
        <f>'DOE25'!K194+'DOE25'!K212+'DOE25'!K230</f>
        <v>860</v>
      </c>
      <c r="H6" s="260"/>
    </row>
    <row r="7" spans="1:9" x14ac:dyDescent="0.2">
      <c r="A7" s="32">
        <v>2200</v>
      </c>
      <c r="B7" t="s">
        <v>868</v>
      </c>
      <c r="C7" s="246">
        <f t="shared" si="0"/>
        <v>92319.41</v>
      </c>
      <c r="D7" s="20">
        <f>'DOE25'!L195+'DOE25'!L213+'DOE25'!L231-F7-G7</f>
        <v>91923.41</v>
      </c>
      <c r="E7" s="244"/>
      <c r="F7" s="256">
        <f>'DOE25'!J195+'DOE25'!J213+'DOE25'!J231</f>
        <v>0</v>
      </c>
      <c r="G7" s="53">
        <f>'DOE25'!K195+'DOE25'!K213+'DOE25'!K231</f>
        <v>396</v>
      </c>
      <c r="H7" s="260"/>
    </row>
    <row r="8" spans="1:9" x14ac:dyDescent="0.2">
      <c r="A8" s="32">
        <v>2300</v>
      </c>
      <c r="B8" t="s">
        <v>836</v>
      </c>
      <c r="C8" s="246">
        <f t="shared" si="0"/>
        <v>59949.660000000018</v>
      </c>
      <c r="D8" s="244"/>
      <c r="E8" s="20">
        <f>'DOE25'!L196+'DOE25'!L214+'DOE25'!L232-F8-G8-D9-D11</f>
        <v>57758.99000000002</v>
      </c>
      <c r="F8" s="256">
        <f>'DOE25'!J196+'DOE25'!J214+'DOE25'!J232</f>
        <v>0</v>
      </c>
      <c r="G8" s="53">
        <f>'DOE25'!K196+'DOE25'!K214+'DOE25'!K232</f>
        <v>2190.67</v>
      </c>
      <c r="H8" s="260"/>
    </row>
    <row r="9" spans="1:9" x14ac:dyDescent="0.2">
      <c r="A9" s="32">
        <v>2310</v>
      </c>
      <c r="B9" t="s">
        <v>852</v>
      </c>
      <c r="C9" s="246">
        <f t="shared" si="0"/>
        <v>12469.73</v>
      </c>
      <c r="D9" s="245">
        <v>12469.73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5837.5</v>
      </c>
      <c r="D10" s="244"/>
      <c r="E10" s="245">
        <v>5837.5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20227</v>
      </c>
      <c r="D11" s="245">
        <v>20227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95128.670000000013</v>
      </c>
      <c r="D12" s="20">
        <f>'DOE25'!L197+'DOE25'!L215+'DOE25'!L233-F12-G12</f>
        <v>94489.680000000008</v>
      </c>
      <c r="E12" s="244"/>
      <c r="F12" s="256">
        <f>'DOE25'!J197+'DOE25'!J215+'DOE25'!J233</f>
        <v>94.99</v>
      </c>
      <c r="G12" s="53">
        <f>'DOE25'!K197+'DOE25'!K215+'DOE25'!K233</f>
        <v>544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96267.26</v>
      </c>
      <c r="D14" s="20">
        <f>'DOE25'!L199+'DOE25'!L217+'DOE25'!L235-F14-G14</f>
        <v>95967.26</v>
      </c>
      <c r="E14" s="244"/>
      <c r="F14" s="256">
        <f>'DOE25'!J199+'DOE25'!J217+'DOE25'!J235</f>
        <v>0</v>
      </c>
      <c r="G14" s="53">
        <f>'DOE25'!K199+'DOE25'!K217+'DOE25'!K235</f>
        <v>300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52576.82</v>
      </c>
      <c r="D15" s="20">
        <f>'DOE25'!L200+'DOE25'!L218+'DOE25'!L236-F15-G15</f>
        <v>52576.82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1718.29</v>
      </c>
      <c r="D16" s="244"/>
      <c r="E16" s="20">
        <f>'DOE25'!L201+'DOE25'!L219+'DOE25'!L237-F16-G16</f>
        <v>1718.29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45400</v>
      </c>
      <c r="D25" s="244"/>
      <c r="E25" s="244"/>
      <c r="F25" s="259"/>
      <c r="G25" s="257"/>
      <c r="H25" s="258">
        <f>'DOE25'!L252+'DOE25'!L253+'DOE25'!L333+'DOE25'!L334</f>
        <v>45400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30971.140000000007</v>
      </c>
      <c r="D29" s="20">
        <f>'DOE25'!L350+'DOE25'!L351+'DOE25'!L352-'DOE25'!I359-F29-G29</f>
        <v>25422.630000000005</v>
      </c>
      <c r="E29" s="244"/>
      <c r="F29" s="256">
        <f>'DOE25'!J350+'DOE25'!J351+'DOE25'!J352</f>
        <v>5415.26</v>
      </c>
      <c r="G29" s="53">
        <f>'DOE25'!K350+'DOE25'!K351+'DOE25'!K352</f>
        <v>133.25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65114.229999999996</v>
      </c>
      <c r="D31" s="20">
        <f>'DOE25'!L282+'DOE25'!L301+'DOE25'!L320+'DOE25'!L325+'DOE25'!L326+'DOE25'!L327-F31-G31</f>
        <v>60994.929999999993</v>
      </c>
      <c r="E31" s="244"/>
      <c r="F31" s="256">
        <f>'DOE25'!J282+'DOE25'!J301+'DOE25'!J320+'DOE25'!J325+'DOE25'!J326+'DOE25'!J327</f>
        <v>3665.29</v>
      </c>
      <c r="G31" s="53">
        <f>'DOE25'!K282+'DOE25'!K301+'DOE25'!K320+'DOE25'!K325+'DOE25'!K326+'DOE25'!K327</f>
        <v>454.01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1865363.5899999996</v>
      </c>
      <c r="E33" s="247">
        <f>SUM(E5:E31)</f>
        <v>65314.780000000021</v>
      </c>
      <c r="F33" s="247">
        <f>SUM(F5:F31)</f>
        <v>12822.39</v>
      </c>
      <c r="G33" s="247">
        <f>SUM(G5:G31)</f>
        <v>6781.46</v>
      </c>
      <c r="H33" s="247">
        <f>SUM(H5:H31)</f>
        <v>45400</v>
      </c>
    </row>
    <row r="35" spans="2:8" ht="12" thickBot="1" x14ac:dyDescent="0.25">
      <c r="B35" s="254" t="s">
        <v>881</v>
      </c>
      <c r="D35" s="255">
        <f>E33</f>
        <v>65314.780000000021</v>
      </c>
      <c r="E35" s="250"/>
    </row>
    <row r="36" spans="2:8" ht="12" thickTop="1" x14ac:dyDescent="0.2">
      <c r="B36" t="s">
        <v>849</v>
      </c>
      <c r="D36" s="20">
        <f>D33</f>
        <v>1865363.5899999996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870B-4E9B-4122-8C73-B14A47128B5A}">
  <sheetPr transitionEvaluation="1" codeName="Sheet2">
    <tabColor indexed="10"/>
  </sheetPr>
  <dimension ref="A1:I156"/>
  <sheetViews>
    <sheetView zoomScale="75" workbookViewId="0">
      <pane ySplit="2" topLeftCell="A120" activePane="bottomLeft" state="frozen"/>
      <selection pane="bottomLeft" activeCell="H139" sqref="H139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PIERMONT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61439.8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315606.90000000002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4745.07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4212.7700000000004</v>
      </c>
      <c r="D13" s="95">
        <f>'DOE25'!G13</f>
        <v>1849.37</v>
      </c>
      <c r="E13" s="95">
        <f>'DOE25'!H13</f>
        <v>2938.14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5194.16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224.5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75816.3</v>
      </c>
      <c r="D19" s="41">
        <f>SUM(D9:D18)</f>
        <v>1849.37</v>
      </c>
      <c r="E19" s="41">
        <f>SUM(E9:E18)</f>
        <v>2938.14</v>
      </c>
      <c r="F19" s="41">
        <f>SUM(F9:F18)</f>
        <v>0</v>
      </c>
      <c r="G19" s="41">
        <f>SUM(G9:G18)</f>
        <v>315606.90000000002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1806.93</v>
      </c>
      <c r="E22" s="95">
        <f>'DOE25'!H23</f>
        <v>2938.14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17340.63</v>
      </c>
      <c r="D24" s="95">
        <f>'DOE25'!G25</f>
        <v>42.44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1936.8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308.25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19585.68</v>
      </c>
      <c r="D32" s="41">
        <f>SUM(D22:D31)</f>
        <v>1849.3700000000001</v>
      </c>
      <c r="E32" s="41">
        <f>SUM(E22:E31)</f>
        <v>2938.14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5006.6000000000004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0</v>
      </c>
      <c r="F40" s="95">
        <f>'DOE25'!I41</f>
        <v>0</v>
      </c>
      <c r="G40" s="95">
        <f>'DOE25'!J41</f>
        <v>315606.90000000002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51224.02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56230.619999999995</v>
      </c>
      <c r="D42" s="41">
        <f>SUM(D34:D41)</f>
        <v>0</v>
      </c>
      <c r="E42" s="41">
        <f>SUM(E34:E41)</f>
        <v>0</v>
      </c>
      <c r="F42" s="41">
        <f>SUM(F34:F41)</f>
        <v>0</v>
      </c>
      <c r="G42" s="41">
        <f>SUM(G34:G41)</f>
        <v>315606.90000000002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75816.299999999988</v>
      </c>
      <c r="D43" s="41">
        <f>D42+D32</f>
        <v>1849.3700000000001</v>
      </c>
      <c r="E43" s="41">
        <f>E42+E32</f>
        <v>2938.14</v>
      </c>
      <c r="F43" s="41">
        <f>F42+F32</f>
        <v>0</v>
      </c>
      <c r="G43" s="41">
        <f>G42+G32</f>
        <v>315606.90000000002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1217675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14526.65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905.19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1068.75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10687.84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2657.5699999999997</v>
      </c>
      <c r="D53" s="95">
        <f>SUM('DOE25'!G90:G102)</f>
        <v>0</v>
      </c>
      <c r="E53" s="95">
        <f>SUM('DOE25'!H90:H102)</f>
        <v>1371</v>
      </c>
      <c r="F53" s="95">
        <f>SUM('DOE25'!I90:I102)</f>
        <v>0</v>
      </c>
      <c r="G53" s="95">
        <f>SUM('DOE25'!J90:J102)</f>
        <v>10042.75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18089.41</v>
      </c>
      <c r="D54" s="130">
        <f>SUM(D49:D53)</f>
        <v>10687.84</v>
      </c>
      <c r="E54" s="130">
        <f>SUM(E49:E53)</f>
        <v>1371</v>
      </c>
      <c r="F54" s="130">
        <f>SUM(F49:F53)</f>
        <v>0</v>
      </c>
      <c r="G54" s="130">
        <f>SUM(G49:G53)</f>
        <v>11111.5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1235764.4099999999</v>
      </c>
      <c r="D55" s="22">
        <f>D48+D54</f>
        <v>10687.84</v>
      </c>
      <c r="E55" s="22">
        <f>E48+E54</f>
        <v>1371</v>
      </c>
      <c r="F55" s="22">
        <f>F48+F54</f>
        <v>0</v>
      </c>
      <c r="G55" s="22">
        <f>G48+G54</f>
        <v>11111.5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285812.59999999998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228339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109657.4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623809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12000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8085.36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41660.26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347.09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61745.62</v>
      </c>
      <c r="D70" s="130">
        <f>SUM(D64:D69)</f>
        <v>347.09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685554.62</v>
      </c>
      <c r="D73" s="130">
        <f>SUM(D71:D72)+D70+D62</f>
        <v>347.09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5124.3100000000004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26645.8</v>
      </c>
      <c r="D80" s="95">
        <f>SUM('DOE25'!G145:G153)</f>
        <v>11154.27</v>
      </c>
      <c r="E80" s="95">
        <f>SUM('DOE25'!H145:H153)</f>
        <v>58626.380000000005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1715.74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28361.54</v>
      </c>
      <c r="D83" s="131">
        <f>SUM(D77:D82)</f>
        <v>11154.27</v>
      </c>
      <c r="E83" s="131">
        <f>SUM(E77:E82)</f>
        <v>63750.69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17982.66</v>
      </c>
      <c r="E88" s="95">
        <f>'DOE25'!H171</f>
        <v>0</v>
      </c>
      <c r="F88" s="95">
        <f>'DOE25'!I171</f>
        <v>0</v>
      </c>
      <c r="G88" s="95">
        <f>'DOE25'!J171</f>
        <v>26000</v>
      </c>
    </row>
    <row r="89" spans="1:7" x14ac:dyDescent="0.2">
      <c r="A89" t="s">
        <v>790</v>
      </c>
      <c r="B89" s="32" t="s">
        <v>211</v>
      </c>
      <c r="C89" s="95">
        <f>SUM('DOE25'!F172:F173)</f>
        <v>7.46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8390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8397.4599999999991</v>
      </c>
      <c r="D95" s="86">
        <f>SUM(D85:D94)</f>
        <v>17982.66</v>
      </c>
      <c r="E95" s="86">
        <f>SUM(E85:E94)</f>
        <v>0</v>
      </c>
      <c r="F95" s="86">
        <f>SUM(F85:F94)</f>
        <v>0</v>
      </c>
      <c r="G95" s="86">
        <f>SUM(G85:G94)</f>
        <v>26000</v>
      </c>
    </row>
    <row r="96" spans="1:7" ht="12.75" thickTop="1" thickBot="1" x14ac:dyDescent="0.25">
      <c r="A96" s="33" t="s">
        <v>797</v>
      </c>
      <c r="C96" s="86">
        <f>C55+C73+C83+C95</f>
        <v>1958078.0299999998</v>
      </c>
      <c r="D96" s="86">
        <f>D55+D73+D83+D95</f>
        <v>40171.86</v>
      </c>
      <c r="E96" s="86">
        <f>E55+E73+E83+E95</f>
        <v>65121.69</v>
      </c>
      <c r="F96" s="86">
        <f>F55+F73+F83+F95</f>
        <v>0</v>
      </c>
      <c r="G96" s="86">
        <f>G55+G73+G95</f>
        <v>37111.5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958315.67999999993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338251.53</v>
      </c>
      <c r="D102" s="24" t="s">
        <v>312</v>
      </c>
      <c r="E102" s="95">
        <f>('DOE25'!L269)+('DOE25'!L288)+('DOE25'!L307)</f>
        <v>51205.13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46646.080000000002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19909.38</v>
      </c>
      <c r="D104" s="24" t="s">
        <v>312</v>
      </c>
      <c r="E104" s="95">
        <f>+('DOE25'!L271)+('DOE25'!L290)+('DOE25'!L309)</f>
        <v>4006.42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1363122.67</v>
      </c>
      <c r="D107" s="86">
        <f>SUM(D101:D106)</f>
        <v>0</v>
      </c>
      <c r="E107" s="86">
        <f>SUM(E101:E106)</f>
        <v>55211.549999999996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54579.839999999997</v>
      </c>
      <c r="D110" s="24" t="s">
        <v>312</v>
      </c>
      <c r="E110" s="95">
        <f>+('DOE25'!L273)+('DOE25'!L292)+('DOE25'!L311)</f>
        <v>1363.54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92319.41</v>
      </c>
      <c r="D111" s="24" t="s">
        <v>312</v>
      </c>
      <c r="E111" s="95">
        <f>+('DOE25'!L274)+('DOE25'!L293)+('DOE25'!L312)</f>
        <v>8085.13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92646.390000000014</v>
      </c>
      <c r="D112" s="24" t="s">
        <v>312</v>
      </c>
      <c r="E112" s="95">
        <f>+('DOE25'!L275)+('DOE25'!L294)+('DOE25'!L313)</f>
        <v>454.01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95128.670000000013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96267.26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52576.82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1718.29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46273.120000000003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485236.68000000005</v>
      </c>
      <c r="D120" s="86">
        <f>SUM(D110:D119)</f>
        <v>46273.120000000003</v>
      </c>
      <c r="E120" s="86">
        <f>SUM(E110:E119)</f>
        <v>9902.68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40000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5400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7.46</v>
      </c>
      <c r="F126" s="95">
        <f>'DOE25'!K373</f>
        <v>0</v>
      </c>
      <c r="G126" s="95">
        <f>'DOE25'!K426</f>
        <v>12921.01</v>
      </c>
    </row>
    <row r="127" spans="1:7" x14ac:dyDescent="0.2">
      <c r="A127" t="s">
        <v>256</v>
      </c>
      <c r="B127" s="32" t="s">
        <v>257</v>
      </c>
      <c r="C127" s="95">
        <f>'DOE25'!L255</f>
        <v>17982.66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68.83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37042.67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-11111.5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89382.66</v>
      </c>
      <c r="D136" s="141">
        <f>SUM(D122:D135)</f>
        <v>0</v>
      </c>
      <c r="E136" s="141">
        <f>SUM(E122:E135)</f>
        <v>7.46</v>
      </c>
      <c r="F136" s="141">
        <f>SUM(F122:F135)</f>
        <v>0</v>
      </c>
      <c r="G136" s="141">
        <f>SUM(G122:G135)</f>
        <v>12921.01</v>
      </c>
    </row>
    <row r="137" spans="1:9" ht="12.75" thickTop="1" thickBot="1" x14ac:dyDescent="0.25">
      <c r="A137" s="33" t="s">
        <v>267</v>
      </c>
      <c r="C137" s="86">
        <f>(C107+C120+C136)</f>
        <v>1937742.01</v>
      </c>
      <c r="D137" s="86">
        <f>(D107+D120+D136)</f>
        <v>46273.120000000003</v>
      </c>
      <c r="E137" s="86">
        <f>(E107+E120+E136)</f>
        <v>65121.689999999995</v>
      </c>
      <c r="F137" s="86">
        <f>(F107+F120+F136)</f>
        <v>0</v>
      </c>
      <c r="G137" s="86">
        <f>(G107+G120+G136)</f>
        <v>12921.01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5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7/91</v>
      </c>
      <c r="C144" s="152" t="str">
        <f>'DOE25'!G481</f>
        <v>8/06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1/2011</v>
      </c>
      <c r="C145" s="152" t="str">
        <f>'DOE25'!G482</f>
        <v>8/2011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850000</v>
      </c>
      <c r="C146" s="137">
        <f>'DOE25'!G483</f>
        <v>8154.09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6.75</v>
      </c>
      <c r="C147" s="137">
        <f>'DOE25'!G484</f>
        <v>4.5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80000</v>
      </c>
      <c r="C148" s="137">
        <f>'DOE25'!G485</f>
        <v>5105.43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85105.43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40000</v>
      </c>
      <c r="C150" s="137">
        <f>'DOE25'!G487</f>
        <v>1627.47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41627.47</v>
      </c>
    </row>
    <row r="151" spans="1:7" x14ac:dyDescent="0.2">
      <c r="A151" s="22" t="s">
        <v>35</v>
      </c>
      <c r="B151" s="137">
        <f>'DOE25'!F488</f>
        <v>40000</v>
      </c>
      <c r="C151" s="137">
        <f>'DOE25'!G488</f>
        <v>6526.62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46526.62</v>
      </c>
    </row>
    <row r="152" spans="1:7" x14ac:dyDescent="0.2">
      <c r="A152" s="22" t="s">
        <v>36</v>
      </c>
      <c r="B152" s="137">
        <f>'DOE25'!F489</f>
        <v>2700</v>
      </c>
      <c r="C152" s="137">
        <f>'DOE25'!G489</f>
        <v>236.45999999999998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2936.46</v>
      </c>
    </row>
    <row r="153" spans="1:7" x14ac:dyDescent="0.2">
      <c r="A153" s="22" t="s">
        <v>37</v>
      </c>
      <c r="B153" s="137">
        <f>'DOE25'!F490</f>
        <v>42700</v>
      </c>
      <c r="C153" s="137">
        <f>'DOE25'!G490</f>
        <v>6763.08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49463.08</v>
      </c>
    </row>
    <row r="154" spans="1:7" x14ac:dyDescent="0.2">
      <c r="A154" s="22" t="s">
        <v>38</v>
      </c>
      <c r="B154" s="137">
        <f>'DOE25'!F491</f>
        <v>40000</v>
      </c>
      <c r="C154" s="137">
        <f>'DOE25'!G491</f>
        <v>1700.7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41700.699999999997</v>
      </c>
    </row>
    <row r="155" spans="1:7" x14ac:dyDescent="0.2">
      <c r="A155" s="22" t="s">
        <v>39</v>
      </c>
      <c r="B155" s="137">
        <f>'DOE25'!F492</f>
        <v>2700</v>
      </c>
      <c r="C155" s="137">
        <f>'DOE25'!G492</f>
        <v>156.51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2856.51</v>
      </c>
    </row>
    <row r="156" spans="1:7" x14ac:dyDescent="0.2">
      <c r="A156" s="22" t="s">
        <v>269</v>
      </c>
      <c r="B156" s="137">
        <f>'DOE25'!F493</f>
        <v>42700</v>
      </c>
      <c r="C156" s="137">
        <f>'DOE25'!G493</f>
        <v>1857.21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44557.21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C5A8-C9F2-426E-BC83-F808DAF766FC}">
  <sheetPr codeName="Sheet3">
    <tabColor indexed="43"/>
  </sheetPr>
  <dimension ref="A1:D42"/>
  <sheetViews>
    <sheetView workbookViewId="0">
      <selection activeCell="G26" sqref="G26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772</v>
      </c>
      <c r="B1" s="280"/>
      <c r="C1" s="280"/>
      <c r="D1" s="280"/>
    </row>
    <row r="2" spans="1:4" x14ac:dyDescent="0.2">
      <c r="A2" s="187" t="s">
        <v>748</v>
      </c>
      <c r="B2" s="186" t="str">
        <f>'DOE25'!A2</f>
        <v>PIERMONT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16082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16082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958316</v>
      </c>
      <c r="D10" s="182">
        <f>ROUND((C10/$C$28)*100,1)</f>
        <v>49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389457</v>
      </c>
      <c r="D11" s="182">
        <f>ROUND((C11/$C$28)*100,1)</f>
        <v>19.899999999999999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46646</v>
      </c>
      <c r="D12" s="182">
        <f>ROUND((C12/$C$28)*100,1)</f>
        <v>2.4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23916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55943</v>
      </c>
      <c r="D15" s="182">
        <f t="shared" ref="D15:D27" si="0">ROUND((C15/$C$28)*100,1)</f>
        <v>2.9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100405</v>
      </c>
      <c r="D16" s="182">
        <f t="shared" si="0"/>
        <v>5.0999999999999996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94819</v>
      </c>
      <c r="D17" s="182">
        <f t="shared" si="0"/>
        <v>4.9000000000000004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95129</v>
      </c>
      <c r="D18" s="182">
        <f t="shared" si="0"/>
        <v>4.9000000000000004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96267</v>
      </c>
      <c r="D20" s="182">
        <f t="shared" si="0"/>
        <v>4.9000000000000004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52577</v>
      </c>
      <c r="D21" s="182">
        <f t="shared" si="0"/>
        <v>2.7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5400</v>
      </c>
      <c r="D25" s="182">
        <f t="shared" si="0"/>
        <v>0.3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35585.160000000003</v>
      </c>
      <c r="D27" s="182">
        <f t="shared" si="0"/>
        <v>1.8</v>
      </c>
    </row>
    <row r="28" spans="1:4" x14ac:dyDescent="0.2">
      <c r="B28" s="187" t="s">
        <v>754</v>
      </c>
      <c r="C28" s="180">
        <f>SUM(C10:C27)</f>
        <v>1954460.16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1954460.16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40000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1217675</v>
      </c>
      <c r="D35" s="182">
        <f t="shared" ref="D35:D40" si="1">ROUND((C35/$C$41)*100,1)</f>
        <v>59.8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30571.909999999916</v>
      </c>
      <c r="D36" s="182">
        <f t="shared" si="1"/>
        <v>1.5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514152</v>
      </c>
      <c r="D37" s="182">
        <f t="shared" si="1"/>
        <v>25.2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171750</v>
      </c>
      <c r="D38" s="182">
        <f t="shared" si="1"/>
        <v>8.4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103267</v>
      </c>
      <c r="D39" s="182">
        <f t="shared" si="1"/>
        <v>5.0999999999999996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2037415.91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C5F1-D533-4BAE-A5AB-DA71CB64B948}">
  <sheetPr>
    <tabColor indexed="17"/>
  </sheetPr>
  <dimension ref="A1:IV90"/>
  <sheetViews>
    <sheetView workbookViewId="0">
      <pane ySplit="3" topLeftCell="A4" activePane="bottomLeft" state="frozen"/>
      <selection pane="bottomLeft" activeCell="A5" sqref="A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9" t="s">
        <v>802</v>
      </c>
      <c r="B1" s="290"/>
      <c r="C1" s="290"/>
      <c r="D1" s="290"/>
      <c r="E1" s="290"/>
      <c r="F1" s="290"/>
      <c r="G1" s="290"/>
      <c r="H1" s="290"/>
      <c r="I1" s="290"/>
      <c r="J1" s="214"/>
      <c r="K1" s="214"/>
      <c r="L1" s="214"/>
      <c r="M1" s="215"/>
    </row>
    <row r="2" spans="1:26" ht="12.75" x14ac:dyDescent="0.2">
      <c r="A2" s="287" t="s">
        <v>799</v>
      </c>
      <c r="B2" s="288"/>
      <c r="C2" s="288"/>
      <c r="D2" s="288"/>
      <c r="E2" s="288"/>
      <c r="F2" s="293" t="str">
        <f>'DOE25'!A2</f>
        <v>PIERMONT SCHOOL DISTRICT</v>
      </c>
      <c r="G2" s="294"/>
      <c r="H2" s="294"/>
      <c r="I2" s="294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1" t="s">
        <v>803</v>
      </c>
      <c r="D3" s="291"/>
      <c r="E3" s="291"/>
      <c r="F3" s="291"/>
      <c r="G3" s="291"/>
      <c r="H3" s="291"/>
      <c r="I3" s="291"/>
      <c r="J3" s="291"/>
      <c r="K3" s="291"/>
      <c r="L3" s="291"/>
      <c r="M3" s="292"/>
    </row>
    <row r="4" spans="1:26" x14ac:dyDescent="0.2">
      <c r="A4" s="219" t="s">
        <v>901</v>
      </c>
      <c r="B4" s="220">
        <v>29</v>
      </c>
      <c r="C4" s="281" t="s">
        <v>902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8"/>
      <c r="AB29" s="208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8"/>
      <c r="AO29" s="208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8"/>
      <c r="BB29" s="208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8"/>
      <c r="BO29" s="208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8"/>
      <c r="CB29" s="208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8"/>
      <c r="CO29" s="208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8"/>
      <c r="DB29" s="208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8"/>
      <c r="DO29" s="208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8"/>
      <c r="EB29" s="208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8"/>
      <c r="EO29" s="208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8"/>
      <c r="FB29" s="208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8"/>
      <c r="FO29" s="208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8"/>
      <c r="GB29" s="208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8"/>
      <c r="GO29" s="208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8"/>
      <c r="HB29" s="208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8"/>
      <c r="HO29" s="208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8"/>
      <c r="IB29" s="208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8"/>
      <c r="IO29" s="208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8"/>
      <c r="AB30" s="208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8"/>
      <c r="AO30" s="208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8"/>
      <c r="BB30" s="208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8"/>
      <c r="BO30" s="208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8"/>
      <c r="CB30" s="208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8"/>
      <c r="CO30" s="208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8"/>
      <c r="DB30" s="208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8"/>
      <c r="DO30" s="208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8"/>
      <c r="EB30" s="208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8"/>
      <c r="EO30" s="208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8"/>
      <c r="FB30" s="208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8"/>
      <c r="FO30" s="208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8"/>
      <c r="GB30" s="208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8"/>
      <c r="GO30" s="208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8"/>
      <c r="HB30" s="208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8"/>
      <c r="HO30" s="208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8"/>
      <c r="IB30" s="208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8"/>
      <c r="IO30" s="208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8"/>
      <c r="AB31" s="208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8"/>
      <c r="AO31" s="208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8"/>
      <c r="BB31" s="208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8"/>
      <c r="BO31" s="208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8"/>
      <c r="CB31" s="208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8"/>
      <c r="CO31" s="208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8"/>
      <c r="DB31" s="208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8"/>
      <c r="DO31" s="208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8"/>
      <c r="EB31" s="208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8"/>
      <c r="EO31" s="208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8"/>
      <c r="FB31" s="208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8"/>
      <c r="FO31" s="208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8"/>
      <c r="GB31" s="208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8"/>
      <c r="GO31" s="208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8"/>
      <c r="HB31" s="208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8"/>
      <c r="HO31" s="208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8"/>
      <c r="IB31" s="208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8"/>
      <c r="IO31" s="208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5"/>
      <c r="Q32" s="285"/>
      <c r="R32" s="285"/>
      <c r="S32" s="285"/>
      <c r="T32" s="285"/>
      <c r="U32" s="285"/>
      <c r="V32" s="285"/>
      <c r="W32" s="285"/>
      <c r="X32" s="285"/>
      <c r="Y32" s="285"/>
      <c r="Z32" s="286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8"/>
      <c r="AB38" s="208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8"/>
      <c r="AO38" s="208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8"/>
      <c r="BB38" s="208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8"/>
      <c r="BO38" s="208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8"/>
      <c r="CB38" s="208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8"/>
      <c r="CO38" s="208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8"/>
      <c r="DB38" s="208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8"/>
      <c r="DO38" s="208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8"/>
      <c r="EB38" s="208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8"/>
      <c r="EO38" s="208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8"/>
      <c r="FB38" s="208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8"/>
      <c r="FO38" s="208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8"/>
      <c r="GB38" s="208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8"/>
      <c r="GO38" s="208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8"/>
      <c r="HB38" s="208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8"/>
      <c r="HO38" s="208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8"/>
      <c r="IB38" s="208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8"/>
      <c r="IO38" s="208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8"/>
      <c r="AB39" s="208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8"/>
      <c r="AO39" s="208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8"/>
      <c r="BB39" s="208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8"/>
      <c r="BO39" s="208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8"/>
      <c r="CB39" s="208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8"/>
      <c r="CO39" s="208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8"/>
      <c r="DB39" s="208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8"/>
      <c r="DO39" s="208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8"/>
      <c r="EB39" s="208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8"/>
      <c r="EO39" s="208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8"/>
      <c r="FB39" s="208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8"/>
      <c r="FO39" s="208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8"/>
      <c r="GB39" s="208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8"/>
      <c r="GO39" s="208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8"/>
      <c r="HB39" s="208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8"/>
      <c r="HO39" s="208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8"/>
      <c r="IB39" s="208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8"/>
      <c r="IO39" s="208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8"/>
      <c r="AB40" s="208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8"/>
      <c r="AO40" s="208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8"/>
      <c r="BB40" s="208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8"/>
      <c r="BO40" s="208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8"/>
      <c r="CB40" s="208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8"/>
      <c r="CO40" s="208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8"/>
      <c r="DB40" s="208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8"/>
      <c r="DO40" s="208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8"/>
      <c r="EB40" s="208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8"/>
      <c r="EO40" s="208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8"/>
      <c r="FB40" s="208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8"/>
      <c r="FO40" s="208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8"/>
      <c r="GB40" s="208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8"/>
      <c r="GO40" s="208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8"/>
      <c r="HB40" s="208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8"/>
      <c r="HO40" s="208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8"/>
      <c r="IB40" s="208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8"/>
      <c r="IO40" s="208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893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2"/>
      <c r="B74" s="212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2"/>
      <c r="B75" s="212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2"/>
      <c r="B76" s="212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2"/>
      <c r="B77" s="212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2"/>
      <c r="B78" s="212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2"/>
      <c r="B79" s="212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2"/>
      <c r="B80" s="212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2"/>
      <c r="B81" s="212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2"/>
      <c r="B82" s="212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2"/>
      <c r="B83" s="212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2"/>
      <c r="B84" s="212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2"/>
      <c r="B85" s="212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2"/>
      <c r="B86" s="212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2"/>
      <c r="B87" s="212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2"/>
      <c r="B88" s="212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2"/>
      <c r="B89" s="212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2"/>
      <c r="B90" s="212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2010-10-05T13:28:38Z</cp:lastPrinted>
  <dcterms:created xsi:type="dcterms:W3CDTF">1997-12-04T19:04:30Z</dcterms:created>
  <dcterms:modified xsi:type="dcterms:W3CDTF">2025-01-09T20:06:34Z</dcterms:modified>
</cp:coreProperties>
</file>