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79DE57F1-984B-4CEA-91D9-0CFEDE8843F0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6ABC055B-68D1-41E0-BCB8-5FA159D3F961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3" l="1"/>
  <c r="C39" i="12"/>
  <c r="B37" i="12"/>
  <c r="B19" i="12"/>
  <c r="B20" i="12"/>
  <c r="C20" i="12" s="1"/>
  <c r="C12" i="12"/>
  <c r="B10" i="12"/>
  <c r="H388" i="1"/>
  <c r="G392" i="1"/>
  <c r="G601" i="1"/>
  <c r="H594" i="1"/>
  <c r="J458" i="1"/>
  <c r="H392" i="1"/>
  <c r="H360" i="1"/>
  <c r="F360" i="1"/>
  <c r="H102" i="1"/>
  <c r="H142" i="1"/>
  <c r="H147" i="1"/>
  <c r="H12" i="1"/>
  <c r="G41" i="1"/>
  <c r="F42" i="1"/>
  <c r="F29" i="1"/>
  <c r="I488" i="1"/>
  <c r="H489" i="1"/>
  <c r="H488" i="1"/>
  <c r="G489" i="1"/>
  <c r="G488" i="1"/>
  <c r="F488" i="1"/>
  <c r="H516" i="1"/>
  <c r="G513" i="1"/>
  <c r="F513" i="1"/>
  <c r="I516" i="1"/>
  <c r="G516" i="1"/>
  <c r="F516" i="1"/>
  <c r="I511" i="1"/>
  <c r="H511" i="1"/>
  <c r="G511" i="1"/>
  <c r="F511" i="1"/>
  <c r="K352" i="1"/>
  <c r="I352" i="1"/>
  <c r="G352" i="1"/>
  <c r="F352" i="1"/>
  <c r="K350" i="1"/>
  <c r="J350" i="1"/>
  <c r="I350" i="1"/>
  <c r="H350" i="1"/>
  <c r="G350" i="1"/>
  <c r="F350" i="1"/>
  <c r="I306" i="1"/>
  <c r="J268" i="1"/>
  <c r="K274" i="1"/>
  <c r="H274" i="1"/>
  <c r="G274" i="1"/>
  <c r="F274" i="1"/>
  <c r="G279" i="1"/>
  <c r="F279" i="1"/>
  <c r="H273" i="1"/>
  <c r="K269" i="1"/>
  <c r="J269" i="1"/>
  <c r="I269" i="1"/>
  <c r="H269" i="1"/>
  <c r="G269" i="1"/>
  <c r="F269" i="1"/>
  <c r="I236" i="1"/>
  <c r="G236" i="1"/>
  <c r="F236" i="1"/>
  <c r="K236" i="1"/>
  <c r="H236" i="1"/>
  <c r="I235" i="1"/>
  <c r="H235" i="1"/>
  <c r="G235" i="1"/>
  <c r="F235" i="1"/>
  <c r="I233" i="1"/>
  <c r="H233" i="1"/>
  <c r="G233" i="1"/>
  <c r="F233" i="1"/>
  <c r="H232" i="1"/>
  <c r="K232" i="1"/>
  <c r="I232" i="1"/>
  <c r="G232" i="1"/>
  <c r="F232" i="1"/>
  <c r="K231" i="1"/>
  <c r="J231" i="1"/>
  <c r="I231" i="1"/>
  <c r="G231" i="1"/>
  <c r="F231" i="1"/>
  <c r="H231" i="1"/>
  <c r="J230" i="1"/>
  <c r="I230" i="1"/>
  <c r="H230" i="1"/>
  <c r="G230" i="1"/>
  <c r="F230" i="1"/>
  <c r="K230" i="1"/>
  <c r="K228" i="1"/>
  <c r="J228" i="1"/>
  <c r="I228" i="1"/>
  <c r="H228" i="1"/>
  <c r="G228" i="1"/>
  <c r="F228" i="1"/>
  <c r="G226" i="1"/>
  <c r="C18" i="12" s="1"/>
  <c r="F226" i="1"/>
  <c r="I225" i="1"/>
  <c r="J225" i="1"/>
  <c r="H225" i="1"/>
  <c r="G225" i="1"/>
  <c r="F225" i="1"/>
  <c r="K255" i="1"/>
  <c r="I200" i="1"/>
  <c r="G200" i="1"/>
  <c r="F200" i="1"/>
  <c r="H200" i="1"/>
  <c r="K200" i="1"/>
  <c r="G199" i="1"/>
  <c r="H199" i="1"/>
  <c r="K199" i="1"/>
  <c r="J199" i="1"/>
  <c r="I199" i="1"/>
  <c r="F199" i="1"/>
  <c r="K197" i="1"/>
  <c r="I197" i="1"/>
  <c r="H197" i="1"/>
  <c r="G197" i="1"/>
  <c r="F197" i="1"/>
  <c r="K196" i="1"/>
  <c r="G8" i="13" s="1"/>
  <c r="E8" i="13" s="1"/>
  <c r="G196" i="1"/>
  <c r="F196" i="1"/>
  <c r="I196" i="1"/>
  <c r="H196" i="1"/>
  <c r="G195" i="1"/>
  <c r="H195" i="1"/>
  <c r="K195" i="1"/>
  <c r="J195" i="1"/>
  <c r="I195" i="1"/>
  <c r="F195" i="1"/>
  <c r="H194" i="1"/>
  <c r="J194" i="1"/>
  <c r="I194" i="1"/>
  <c r="G194" i="1"/>
  <c r="F194" i="1"/>
  <c r="K194" i="1"/>
  <c r="G192" i="1"/>
  <c r="C36" i="12" s="1"/>
  <c r="C37" i="12" s="1"/>
  <c r="C40" i="12" s="1"/>
  <c r="F192" i="1"/>
  <c r="K192" i="1"/>
  <c r="H192" i="1"/>
  <c r="I190" i="1"/>
  <c r="G190" i="1"/>
  <c r="F190" i="1"/>
  <c r="H190" i="1"/>
  <c r="I189" i="1"/>
  <c r="K189" i="1"/>
  <c r="J189" i="1"/>
  <c r="H189" i="1"/>
  <c r="G189" i="1"/>
  <c r="C9" i="12" s="1"/>
  <c r="F189" i="1"/>
  <c r="C60" i="2"/>
  <c r="B2" i="13"/>
  <c r="F8" i="13"/>
  <c r="L196" i="1"/>
  <c r="L214" i="1"/>
  <c r="L232" i="1"/>
  <c r="D39" i="13"/>
  <c r="F13" i="13"/>
  <c r="G13" i="13"/>
  <c r="L198" i="1"/>
  <c r="C114" i="2" s="1"/>
  <c r="L216" i="1"/>
  <c r="L234" i="1"/>
  <c r="F16" i="13"/>
  <c r="G16" i="13"/>
  <c r="L201" i="1"/>
  <c r="C117" i="2" s="1"/>
  <c r="L219" i="1"/>
  <c r="E16" i="13" s="1"/>
  <c r="C16" i="13" s="1"/>
  <c r="L237" i="1"/>
  <c r="F5" i="13"/>
  <c r="G5" i="13"/>
  <c r="L189" i="1"/>
  <c r="C101" i="2" s="1"/>
  <c r="L190" i="1"/>
  <c r="L191" i="1"/>
  <c r="L192" i="1"/>
  <c r="L207" i="1"/>
  <c r="L208" i="1"/>
  <c r="L209" i="1"/>
  <c r="L221" i="1" s="1"/>
  <c r="L210" i="1"/>
  <c r="L225" i="1"/>
  <c r="L226" i="1"/>
  <c r="C102" i="2" s="1"/>
  <c r="L227" i="1"/>
  <c r="L228" i="1"/>
  <c r="F6" i="13"/>
  <c r="G6" i="13"/>
  <c r="L194" i="1"/>
  <c r="C110" i="2" s="1"/>
  <c r="L212" i="1"/>
  <c r="L230" i="1"/>
  <c r="F7" i="13"/>
  <c r="G7" i="13"/>
  <c r="L195" i="1"/>
  <c r="L213" i="1"/>
  <c r="C16" i="10" s="1"/>
  <c r="L231" i="1"/>
  <c r="D7" i="13" s="1"/>
  <c r="C7" i="13" s="1"/>
  <c r="F12" i="13"/>
  <c r="G12" i="13"/>
  <c r="L197" i="1"/>
  <c r="D12" i="13" s="1"/>
  <c r="C12" i="13" s="1"/>
  <c r="L215" i="1"/>
  <c r="L233" i="1"/>
  <c r="F14" i="13"/>
  <c r="G14" i="13"/>
  <c r="L199" i="1"/>
  <c r="L217" i="1"/>
  <c r="C20" i="10" s="1"/>
  <c r="L235" i="1"/>
  <c r="F15" i="13"/>
  <c r="G15" i="13"/>
  <c r="L200" i="1"/>
  <c r="L218" i="1"/>
  <c r="L236" i="1"/>
  <c r="H652" i="1" s="1"/>
  <c r="F17" i="13"/>
  <c r="G17" i="13"/>
  <c r="L243" i="1"/>
  <c r="D17" i="13" s="1"/>
  <c r="C17" i="13" s="1"/>
  <c r="F18" i="13"/>
  <c r="G18" i="13"/>
  <c r="L244" i="1"/>
  <c r="C106" i="2" s="1"/>
  <c r="D18" i="13"/>
  <c r="C18" i="13" s="1"/>
  <c r="F19" i="13"/>
  <c r="G19" i="13"/>
  <c r="L245" i="1"/>
  <c r="D19" i="13" s="1"/>
  <c r="C19" i="13" s="1"/>
  <c r="F29" i="13"/>
  <c r="G29" i="13"/>
  <c r="L350" i="1"/>
  <c r="L351" i="1"/>
  <c r="D29" i="13" s="1"/>
  <c r="C29" i="13" s="1"/>
  <c r="L352" i="1"/>
  <c r="G651" i="1" s="1"/>
  <c r="H651" i="1"/>
  <c r="I359" i="1"/>
  <c r="J282" i="1"/>
  <c r="F31" i="13" s="1"/>
  <c r="J320" i="1"/>
  <c r="J301" i="1"/>
  <c r="K282" i="1"/>
  <c r="K301" i="1"/>
  <c r="K320" i="1"/>
  <c r="L268" i="1"/>
  <c r="L269" i="1"/>
  <c r="E102" i="2" s="1"/>
  <c r="L270" i="1"/>
  <c r="L271" i="1"/>
  <c r="E104" i="2" s="1"/>
  <c r="L273" i="1"/>
  <c r="L274" i="1"/>
  <c r="L275" i="1"/>
  <c r="L276" i="1"/>
  <c r="L277" i="1"/>
  <c r="E114" i="2" s="1"/>
  <c r="L278" i="1"/>
  <c r="L279" i="1"/>
  <c r="L280" i="1"/>
  <c r="L287" i="1"/>
  <c r="L301" i="1" s="1"/>
  <c r="L288" i="1"/>
  <c r="L289" i="1"/>
  <c r="E103" i="2" s="1"/>
  <c r="L290" i="1"/>
  <c r="L292" i="1"/>
  <c r="L293" i="1"/>
  <c r="L294" i="1"/>
  <c r="L295" i="1"/>
  <c r="L296" i="1"/>
  <c r="L297" i="1"/>
  <c r="L298" i="1"/>
  <c r="G652" i="1" s="1"/>
  <c r="L299" i="1"/>
  <c r="L306" i="1"/>
  <c r="L307" i="1"/>
  <c r="L308" i="1"/>
  <c r="L309" i="1"/>
  <c r="L311" i="1"/>
  <c r="L312" i="1"/>
  <c r="L313" i="1"/>
  <c r="E112" i="2" s="1"/>
  <c r="L314" i="1"/>
  <c r="L315" i="1"/>
  <c r="L316" i="1"/>
  <c r="E115" i="2" s="1"/>
  <c r="L317" i="1"/>
  <c r="L318" i="1"/>
  <c r="L325" i="1"/>
  <c r="E106" i="2" s="1"/>
  <c r="L326" i="1"/>
  <c r="L327" i="1"/>
  <c r="L252" i="1"/>
  <c r="L253" i="1"/>
  <c r="L333" i="1"/>
  <c r="C32" i="10" s="1"/>
  <c r="L334" i="1"/>
  <c r="L247" i="1"/>
  <c r="C29" i="10" s="1"/>
  <c r="L328" i="1"/>
  <c r="C11" i="13"/>
  <c r="C10" i="13"/>
  <c r="C9" i="13"/>
  <c r="L353" i="1"/>
  <c r="B4" i="12"/>
  <c r="B36" i="12"/>
  <c r="A40" i="12" s="1"/>
  <c r="B40" i="12"/>
  <c r="B27" i="12"/>
  <c r="A31" i="12" s="1"/>
  <c r="C27" i="12"/>
  <c r="B31" i="12"/>
  <c r="C31" i="12"/>
  <c r="B9" i="12"/>
  <c r="B13" i="12"/>
  <c r="B18" i="12"/>
  <c r="B22" i="12"/>
  <c r="B1" i="12"/>
  <c r="L379" i="1"/>
  <c r="L385" i="1" s="1"/>
  <c r="L380" i="1"/>
  <c r="L381" i="1"/>
  <c r="L382" i="1"/>
  <c r="L383" i="1"/>
  <c r="L384" i="1"/>
  <c r="L387" i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 s="1"/>
  <c r="G55" i="2" s="1"/>
  <c r="G51" i="2"/>
  <c r="G53" i="2"/>
  <c r="G54" i="2"/>
  <c r="F2" i="11"/>
  <c r="L603" i="1"/>
  <c r="H653" i="1"/>
  <c r="L602" i="1"/>
  <c r="G653" i="1"/>
  <c r="L601" i="1"/>
  <c r="F653" i="1"/>
  <c r="I653" i="1" s="1"/>
  <c r="C40" i="10"/>
  <c r="F52" i="1"/>
  <c r="F104" i="1" s="1"/>
  <c r="C48" i="2"/>
  <c r="G52" i="1"/>
  <c r="H52" i="1"/>
  <c r="E48" i="2" s="1"/>
  <c r="E53" i="2"/>
  <c r="E50" i="2"/>
  <c r="E51" i="2"/>
  <c r="I52" i="1"/>
  <c r="F48" i="2" s="1"/>
  <c r="F55" i="2" s="1"/>
  <c r="F71" i="1"/>
  <c r="F103" i="1"/>
  <c r="H103" i="1"/>
  <c r="G103" i="1"/>
  <c r="G104" i="1"/>
  <c r="J103" i="1"/>
  <c r="J104" i="1"/>
  <c r="J185" i="1" s="1"/>
  <c r="F86" i="1"/>
  <c r="C50" i="2" s="1"/>
  <c r="C49" i="2"/>
  <c r="C54" i="2" s="1"/>
  <c r="C51" i="2"/>
  <c r="C53" i="2"/>
  <c r="H71" i="1"/>
  <c r="E49" i="2" s="1"/>
  <c r="E54" i="2" s="1"/>
  <c r="H86" i="1"/>
  <c r="I103" i="1"/>
  <c r="I104" i="1"/>
  <c r="C37" i="10"/>
  <c r="F113" i="1"/>
  <c r="F128" i="1"/>
  <c r="F132" i="1" s="1"/>
  <c r="G113" i="1"/>
  <c r="G132" i="1" s="1"/>
  <c r="G128" i="1"/>
  <c r="H113" i="1"/>
  <c r="H128" i="1"/>
  <c r="H132" i="1" s="1"/>
  <c r="I113" i="1"/>
  <c r="I128" i="1"/>
  <c r="I132" i="1"/>
  <c r="J113" i="1"/>
  <c r="J128" i="1"/>
  <c r="J132" i="1" s="1"/>
  <c r="F139" i="1"/>
  <c r="C77" i="2" s="1"/>
  <c r="C83" i="2" s="1"/>
  <c r="F154" i="1"/>
  <c r="G139" i="1"/>
  <c r="G154" i="1"/>
  <c r="G161" i="1" s="1"/>
  <c r="H139" i="1"/>
  <c r="E77" i="2" s="1"/>
  <c r="E83" i="2" s="1"/>
  <c r="H154" i="1"/>
  <c r="H161" i="1"/>
  <c r="I139" i="1"/>
  <c r="I154" i="1"/>
  <c r="I161" i="1" s="1"/>
  <c r="L242" i="1"/>
  <c r="C105" i="2" s="1"/>
  <c r="L324" i="1"/>
  <c r="E105" i="2" s="1"/>
  <c r="C23" i="10"/>
  <c r="L246" i="1"/>
  <c r="C25" i="10"/>
  <c r="L260" i="1"/>
  <c r="C26" i="10" s="1"/>
  <c r="L261" i="1"/>
  <c r="C135" i="2" s="1"/>
  <c r="L341" i="1"/>
  <c r="L342" i="1"/>
  <c r="I655" i="1"/>
  <c r="I660" i="1"/>
  <c r="I659" i="1"/>
  <c r="C5" i="10"/>
  <c r="C42" i="10"/>
  <c r="L366" i="1"/>
  <c r="L374" i="1" s="1"/>
  <c r="L367" i="1"/>
  <c r="L368" i="1"/>
  <c r="L369" i="1"/>
  <c r="L370" i="1"/>
  <c r="L371" i="1"/>
  <c r="L372" i="1"/>
  <c r="B2" i="10"/>
  <c r="L336" i="1"/>
  <c r="L343" i="1" s="1"/>
  <c r="L337" i="1"/>
  <c r="E127" i="2" s="1"/>
  <c r="L338" i="1"/>
  <c r="L339" i="1"/>
  <c r="K343" i="1"/>
  <c r="L511" i="1"/>
  <c r="F539" i="1" s="1"/>
  <c r="L512" i="1"/>
  <c r="F540" i="1" s="1"/>
  <c r="L513" i="1"/>
  <c r="F541" i="1" s="1"/>
  <c r="K541" i="1" s="1"/>
  <c r="L516" i="1"/>
  <c r="L519" i="1" s="1"/>
  <c r="G539" i="1"/>
  <c r="G542" i="1"/>
  <c r="L517" i="1"/>
  <c r="G540" i="1"/>
  <c r="L518" i="1"/>
  <c r="G541" i="1"/>
  <c r="L521" i="1"/>
  <c r="H539" i="1"/>
  <c r="L522" i="1"/>
  <c r="H540" i="1"/>
  <c r="L523" i="1"/>
  <c r="H541" i="1"/>
  <c r="L526" i="1"/>
  <c r="L529" i="1" s="1"/>
  <c r="I539" i="1"/>
  <c r="I542" i="1" s="1"/>
  <c r="L527" i="1"/>
  <c r="I540" i="1"/>
  <c r="L528" i="1"/>
  <c r="I541" i="1"/>
  <c r="L531" i="1"/>
  <c r="J539" i="1"/>
  <c r="J542" i="1" s="1"/>
  <c r="L532" i="1"/>
  <c r="J540" i="1" s="1"/>
  <c r="L533" i="1"/>
  <c r="J541" i="1"/>
  <c r="E124" i="2"/>
  <c r="K262" i="1"/>
  <c r="J262" i="1"/>
  <c r="I262" i="1"/>
  <c r="L262" i="1" s="1"/>
  <c r="H262" i="1"/>
  <c r="G262" i="1"/>
  <c r="F262" i="1"/>
  <c r="C124" i="2"/>
  <c r="C123" i="2"/>
  <c r="A1" i="2"/>
  <c r="A2" i="2"/>
  <c r="C9" i="2"/>
  <c r="C19" i="2" s="1"/>
  <c r="C13" i="2"/>
  <c r="C14" i="2"/>
  <c r="C10" i="2"/>
  <c r="C11" i="2"/>
  <c r="C12" i="2"/>
  <c r="C16" i="2"/>
  <c r="C17" i="2"/>
  <c r="C18" i="2"/>
  <c r="D9" i="2"/>
  <c r="D19" i="2" s="1"/>
  <c r="E9" i="2"/>
  <c r="E19" i="2" s="1"/>
  <c r="E13" i="2"/>
  <c r="E12" i="2"/>
  <c r="E10" i="2"/>
  <c r="E14" i="2"/>
  <c r="E16" i="2"/>
  <c r="E17" i="2"/>
  <c r="E18" i="2"/>
  <c r="F9" i="2"/>
  <c r="I431" i="1"/>
  <c r="J9" i="1"/>
  <c r="D10" i="2"/>
  <c r="F10" i="2"/>
  <c r="I432" i="1"/>
  <c r="J10" i="1"/>
  <c r="G10" i="2" s="1"/>
  <c r="D12" i="2"/>
  <c r="F12" i="2"/>
  <c r="I433" i="1"/>
  <c r="J12" i="1" s="1"/>
  <c r="G12" i="2" s="1"/>
  <c r="G19" i="2" s="1"/>
  <c r="D13" i="2"/>
  <c r="F13" i="2"/>
  <c r="I434" i="1"/>
  <c r="J13" i="1"/>
  <c r="G13" i="2" s="1"/>
  <c r="D14" i="2"/>
  <c r="F14" i="2"/>
  <c r="I435" i="1"/>
  <c r="J14" i="1" s="1"/>
  <c r="G14" i="2" s="1"/>
  <c r="F15" i="2"/>
  <c r="D16" i="2"/>
  <c r="F16" i="2"/>
  <c r="D17" i="2"/>
  <c r="F17" i="2"/>
  <c r="I436" i="1"/>
  <c r="J17" i="1" s="1"/>
  <c r="G17" i="2" s="1"/>
  <c r="D18" i="2"/>
  <c r="F18" i="2"/>
  <c r="I437" i="1"/>
  <c r="J18" i="1"/>
  <c r="G18" i="2" s="1"/>
  <c r="C22" i="2"/>
  <c r="D22" i="2"/>
  <c r="E22" i="2"/>
  <c r="F22" i="2"/>
  <c r="I440" i="1"/>
  <c r="J23" i="1" s="1"/>
  <c r="C23" i="2"/>
  <c r="D23" i="2"/>
  <c r="D24" i="2"/>
  <c r="D25" i="2"/>
  <c r="D28" i="2"/>
  <c r="D29" i="2"/>
  <c r="D30" i="2"/>
  <c r="D31" i="2"/>
  <c r="D32" i="2"/>
  <c r="E23" i="2"/>
  <c r="F23" i="2"/>
  <c r="F24" i="2"/>
  <c r="F25" i="2"/>
  <c r="F26" i="2"/>
  <c r="F27" i="2"/>
  <c r="F28" i="2"/>
  <c r="F29" i="2"/>
  <c r="F30" i="2"/>
  <c r="F31" i="2"/>
  <c r="F32" i="2"/>
  <c r="I441" i="1"/>
  <c r="J24" i="1" s="1"/>
  <c r="G23" i="2" s="1"/>
  <c r="C24" i="2"/>
  <c r="E24" i="2"/>
  <c r="I442" i="1"/>
  <c r="J25" i="1"/>
  <c r="G24" i="2" s="1"/>
  <c r="C25" i="2"/>
  <c r="E25" i="2"/>
  <c r="C26" i="2"/>
  <c r="C27" i="2"/>
  <c r="C32" i="2" s="1"/>
  <c r="C28" i="2"/>
  <c r="E28" i="2"/>
  <c r="C29" i="2"/>
  <c r="E29" i="2"/>
  <c r="C30" i="2"/>
  <c r="E30" i="2"/>
  <c r="C31" i="2"/>
  <c r="E31" i="2"/>
  <c r="I443" i="1"/>
  <c r="J32" i="1" s="1"/>
  <c r="G31" i="2" s="1"/>
  <c r="E32" i="2"/>
  <c r="C34" i="2"/>
  <c r="D34" i="2"/>
  <c r="D42" i="2" s="1"/>
  <c r="E34" i="2"/>
  <c r="F34" i="2"/>
  <c r="C35" i="2"/>
  <c r="D35" i="2"/>
  <c r="E35" i="2"/>
  <c r="F35" i="2"/>
  <c r="C36" i="2"/>
  <c r="D36" i="2"/>
  <c r="E36" i="2"/>
  <c r="E42" i="2" s="1"/>
  <c r="E43" i="2" s="1"/>
  <c r="F36" i="2"/>
  <c r="I446" i="1"/>
  <c r="J37" i="1"/>
  <c r="G36" i="2" s="1"/>
  <c r="C37" i="2"/>
  <c r="C42" i="2" s="1"/>
  <c r="C41" i="2"/>
  <c r="C38" i="2"/>
  <c r="C40" i="2"/>
  <c r="D37" i="2"/>
  <c r="E37" i="2"/>
  <c r="E38" i="2"/>
  <c r="E40" i="2"/>
  <c r="E41" i="2"/>
  <c r="F37" i="2"/>
  <c r="I447" i="1"/>
  <c r="J38" i="1" s="1"/>
  <c r="G37" i="2" s="1"/>
  <c r="D38" i="2"/>
  <c r="F38" i="2"/>
  <c r="I448" i="1"/>
  <c r="I450" i="1" s="1"/>
  <c r="J40" i="1"/>
  <c r="G39" i="2"/>
  <c r="D40" i="2"/>
  <c r="F40" i="2"/>
  <c r="I449" i="1"/>
  <c r="J41" i="1"/>
  <c r="G40" i="2" s="1"/>
  <c r="D41" i="2"/>
  <c r="F41" i="2"/>
  <c r="D48" i="2"/>
  <c r="F51" i="2"/>
  <c r="F53" i="2"/>
  <c r="F54" i="2"/>
  <c r="D51" i="2"/>
  <c r="D52" i="2"/>
  <c r="D53" i="2"/>
  <c r="D54" i="2" s="1"/>
  <c r="C58" i="2"/>
  <c r="C59" i="2"/>
  <c r="C61" i="2"/>
  <c r="C64" i="2"/>
  <c r="C70" i="2" s="1"/>
  <c r="C65" i="2"/>
  <c r="C66" i="2"/>
  <c r="C67" i="2"/>
  <c r="C68" i="2"/>
  <c r="C69" i="2"/>
  <c r="C71" i="2"/>
  <c r="C72" i="2"/>
  <c r="D61" i="2"/>
  <c r="D62" i="2" s="1"/>
  <c r="E61" i="2"/>
  <c r="E62" i="2"/>
  <c r="E71" i="2"/>
  <c r="E72" i="2"/>
  <c r="E68" i="2"/>
  <c r="E69" i="2"/>
  <c r="E70" i="2" s="1"/>
  <c r="E73" i="2" s="1"/>
  <c r="F61" i="2"/>
  <c r="G61" i="2"/>
  <c r="G62" i="2"/>
  <c r="G69" i="2"/>
  <c r="G70" i="2" s="1"/>
  <c r="G73" i="2" s="1"/>
  <c r="F62" i="2"/>
  <c r="F64" i="2"/>
  <c r="F65" i="2"/>
  <c r="F68" i="2"/>
  <c r="F69" i="2"/>
  <c r="F70" i="2" s="1"/>
  <c r="F73" i="2" s="1"/>
  <c r="D69" i="2"/>
  <c r="D70" i="2"/>
  <c r="D73" i="2" s="1"/>
  <c r="D71" i="2"/>
  <c r="D77" i="2"/>
  <c r="D83" i="2" s="1"/>
  <c r="F77" i="2"/>
  <c r="C79" i="2"/>
  <c r="E79" i="2"/>
  <c r="E80" i="2"/>
  <c r="E81" i="2"/>
  <c r="F79" i="2"/>
  <c r="F83" i="2" s="1"/>
  <c r="C80" i="2"/>
  <c r="C81" i="2"/>
  <c r="C82" i="2"/>
  <c r="D80" i="2"/>
  <c r="F80" i="2"/>
  <c r="D81" i="2"/>
  <c r="F81" i="2"/>
  <c r="C85" i="2"/>
  <c r="F85" i="2"/>
  <c r="F95" i="2" s="1"/>
  <c r="F86" i="2"/>
  <c r="F88" i="2"/>
  <c r="F89" i="2"/>
  <c r="F91" i="2"/>
  <c r="F92" i="2"/>
  <c r="F93" i="2"/>
  <c r="F94" i="2"/>
  <c r="C86" i="2"/>
  <c r="D88" i="2"/>
  <c r="D95" i="2" s="1"/>
  <c r="E88" i="2"/>
  <c r="G88" i="2"/>
  <c r="C89" i="2"/>
  <c r="D89" i="2"/>
  <c r="D90" i="2"/>
  <c r="D91" i="2"/>
  <c r="D92" i="2"/>
  <c r="D93" i="2"/>
  <c r="D94" i="2"/>
  <c r="E89" i="2"/>
  <c r="G89" i="2"/>
  <c r="C90" i="2"/>
  <c r="E90" i="2"/>
  <c r="G90" i="2"/>
  <c r="C91" i="2"/>
  <c r="E91" i="2"/>
  <c r="C92" i="2"/>
  <c r="E92" i="2"/>
  <c r="C93" i="2"/>
  <c r="E93" i="2"/>
  <c r="C94" i="2"/>
  <c r="E94" i="2"/>
  <c r="E95" i="2"/>
  <c r="G95" i="2"/>
  <c r="C104" i="2"/>
  <c r="D107" i="2"/>
  <c r="F107" i="2"/>
  <c r="F137" i="2" s="1"/>
  <c r="G107" i="2"/>
  <c r="E110" i="2"/>
  <c r="E111" i="2"/>
  <c r="C112" i="2"/>
  <c r="E113" i="2"/>
  <c r="F120" i="2"/>
  <c r="G120" i="2"/>
  <c r="E122" i="2"/>
  <c r="F122" i="2"/>
  <c r="F136" i="2" s="1"/>
  <c r="F126" i="2"/>
  <c r="D126" i="2"/>
  <c r="E129" i="2"/>
  <c r="E134" i="2"/>
  <c r="E135" i="2"/>
  <c r="K411" i="1"/>
  <c r="K426" i="1"/>
  <c r="G126" i="2" s="1"/>
  <c r="G136" i="2" s="1"/>
  <c r="K419" i="1"/>
  <c r="K425" i="1"/>
  <c r="L255" i="1"/>
  <c r="C127" i="2" s="1"/>
  <c r="L256" i="1"/>
  <c r="C128" i="2" s="1"/>
  <c r="L257" i="1"/>
  <c r="C129" i="2"/>
  <c r="C134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G149" i="2" s="1"/>
  <c r="E149" i="2"/>
  <c r="F149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F490" i="1"/>
  <c r="B153" i="2" s="1"/>
  <c r="G490" i="1"/>
  <c r="C153" i="2" s="1"/>
  <c r="H490" i="1"/>
  <c r="D153" i="2"/>
  <c r="I490" i="1"/>
  <c r="J490" i="1"/>
  <c r="F153" i="2" s="1"/>
  <c r="B154" i="2"/>
  <c r="G154" i="2" s="1"/>
  <c r="C154" i="2"/>
  <c r="D154" i="2"/>
  <c r="E154" i="2"/>
  <c r="F154" i="2"/>
  <c r="B155" i="2"/>
  <c r="C155" i="2"/>
  <c r="D155" i="2"/>
  <c r="E155" i="2"/>
  <c r="F155" i="2"/>
  <c r="F493" i="1"/>
  <c r="B156" i="2" s="1"/>
  <c r="G156" i="2" s="1"/>
  <c r="E156" i="2"/>
  <c r="G493" i="1"/>
  <c r="C156" i="2" s="1"/>
  <c r="H493" i="1"/>
  <c r="D156" i="2" s="1"/>
  <c r="I493" i="1"/>
  <c r="J493" i="1"/>
  <c r="F156" i="2" s="1"/>
  <c r="F19" i="1"/>
  <c r="G607" i="1"/>
  <c r="G19" i="1"/>
  <c r="H19" i="1"/>
  <c r="G609" i="1" s="1"/>
  <c r="J609" i="1" s="1"/>
  <c r="I19" i="1"/>
  <c r="G610" i="1" s="1"/>
  <c r="F33" i="1"/>
  <c r="G33" i="1"/>
  <c r="H33" i="1"/>
  <c r="H44" i="1" s="1"/>
  <c r="H609" i="1" s="1"/>
  <c r="I33" i="1"/>
  <c r="F43" i="1"/>
  <c r="F44" i="1"/>
  <c r="H607" i="1" s="1"/>
  <c r="G43" i="1"/>
  <c r="G44" i="1" s="1"/>
  <c r="H608" i="1" s="1"/>
  <c r="H43" i="1"/>
  <c r="I43" i="1"/>
  <c r="G608" i="1"/>
  <c r="J608" i="1"/>
  <c r="F169" i="1"/>
  <c r="F184" i="1" s="1"/>
  <c r="F180" i="1"/>
  <c r="I169" i="1"/>
  <c r="F175" i="1"/>
  <c r="G175" i="1"/>
  <c r="G184" i="1" s="1"/>
  <c r="H175" i="1"/>
  <c r="H184" i="1"/>
  <c r="I175" i="1"/>
  <c r="J175" i="1"/>
  <c r="J184" i="1"/>
  <c r="G180" i="1"/>
  <c r="H180" i="1"/>
  <c r="I180" i="1"/>
  <c r="H618" i="1"/>
  <c r="I184" i="1"/>
  <c r="I185" i="1"/>
  <c r="G620" i="1" s="1"/>
  <c r="J620" i="1" s="1"/>
  <c r="F203" i="1"/>
  <c r="F249" i="1" s="1"/>
  <c r="F263" i="1" s="1"/>
  <c r="G203" i="1"/>
  <c r="H203" i="1"/>
  <c r="I203" i="1"/>
  <c r="J203" i="1"/>
  <c r="K203" i="1"/>
  <c r="K249" i="1" s="1"/>
  <c r="K263" i="1" s="1"/>
  <c r="F221" i="1"/>
  <c r="G221" i="1"/>
  <c r="H221" i="1"/>
  <c r="H249" i="1" s="1"/>
  <c r="H263" i="1" s="1"/>
  <c r="I221" i="1"/>
  <c r="I249" i="1" s="1"/>
  <c r="I263" i="1" s="1"/>
  <c r="J221" i="1"/>
  <c r="J249" i="1" s="1"/>
  <c r="K221" i="1"/>
  <c r="F239" i="1"/>
  <c r="G239" i="1"/>
  <c r="H239" i="1"/>
  <c r="I239" i="1"/>
  <c r="J239" i="1"/>
  <c r="K239" i="1"/>
  <c r="F248" i="1"/>
  <c r="G248" i="1"/>
  <c r="L248" i="1"/>
  <c r="H248" i="1"/>
  <c r="I248" i="1"/>
  <c r="J248" i="1"/>
  <c r="K248" i="1"/>
  <c r="F282" i="1"/>
  <c r="G282" i="1"/>
  <c r="G330" i="1"/>
  <c r="G344" i="1" s="1"/>
  <c r="H282" i="1"/>
  <c r="I282" i="1"/>
  <c r="I330" i="1" s="1"/>
  <c r="I344" i="1" s="1"/>
  <c r="F301" i="1"/>
  <c r="G301" i="1"/>
  <c r="H301" i="1"/>
  <c r="I301" i="1"/>
  <c r="F320" i="1"/>
  <c r="G320" i="1"/>
  <c r="H320" i="1"/>
  <c r="H330" i="1" s="1"/>
  <c r="H344" i="1" s="1"/>
  <c r="I320" i="1"/>
  <c r="F329" i="1"/>
  <c r="G329" i="1"/>
  <c r="L329" i="1" s="1"/>
  <c r="H329" i="1"/>
  <c r="I329" i="1"/>
  <c r="J329" i="1"/>
  <c r="K329" i="1"/>
  <c r="K330" i="1"/>
  <c r="K344" i="1" s="1"/>
  <c r="F330" i="1"/>
  <c r="F344" i="1"/>
  <c r="J330" i="1"/>
  <c r="J344" i="1" s="1"/>
  <c r="F354" i="1"/>
  <c r="G354" i="1"/>
  <c r="H354" i="1"/>
  <c r="I354" i="1"/>
  <c r="J354" i="1"/>
  <c r="K354" i="1"/>
  <c r="I360" i="1"/>
  <c r="F361" i="1"/>
  <c r="G361" i="1"/>
  <c r="H361" i="1"/>
  <c r="I361" i="1"/>
  <c r="H624" i="1" s="1"/>
  <c r="L373" i="1"/>
  <c r="F374" i="1"/>
  <c r="G374" i="1"/>
  <c r="H374" i="1"/>
  <c r="I374" i="1"/>
  <c r="J374" i="1"/>
  <c r="K374" i="1"/>
  <c r="F385" i="1"/>
  <c r="F400" i="1" s="1"/>
  <c r="H633" i="1" s="1"/>
  <c r="G385" i="1"/>
  <c r="G400" i="1" s="1"/>
  <c r="H635" i="1" s="1"/>
  <c r="H385" i="1"/>
  <c r="I385" i="1"/>
  <c r="F393" i="1"/>
  <c r="G393" i="1"/>
  <c r="H393" i="1"/>
  <c r="I393" i="1"/>
  <c r="F399" i="1"/>
  <c r="G399" i="1"/>
  <c r="H399" i="1"/>
  <c r="I399" i="1"/>
  <c r="I400" i="1" s="1"/>
  <c r="H400" i="1"/>
  <c r="H634" i="1" s="1"/>
  <c r="J634" i="1" s="1"/>
  <c r="L405" i="1"/>
  <c r="L411" i="1" s="1"/>
  <c r="L426" i="1" s="1"/>
  <c r="G628" i="1" s="1"/>
  <c r="J628" i="1" s="1"/>
  <c r="L410" i="1"/>
  <c r="L406" i="1"/>
  <c r="L407" i="1"/>
  <c r="L408" i="1"/>
  <c r="L409" i="1"/>
  <c r="F411" i="1"/>
  <c r="F426" i="1" s="1"/>
  <c r="G411" i="1"/>
  <c r="H411" i="1"/>
  <c r="I411" i="1"/>
  <c r="J411" i="1"/>
  <c r="J426" i="1" s="1"/>
  <c r="L413" i="1"/>
  <c r="L419" i="1"/>
  <c r="L414" i="1"/>
  <c r="L415" i="1"/>
  <c r="L416" i="1"/>
  <c r="L417" i="1"/>
  <c r="L418" i="1"/>
  <c r="F419" i="1"/>
  <c r="G419" i="1"/>
  <c r="H419" i="1"/>
  <c r="I419" i="1"/>
  <c r="J419" i="1"/>
  <c r="L421" i="1"/>
  <c r="L425" i="1"/>
  <c r="L422" i="1"/>
  <c r="L423" i="1"/>
  <c r="L424" i="1"/>
  <c r="F425" i="1"/>
  <c r="G425" i="1"/>
  <c r="H425" i="1"/>
  <c r="I425" i="1"/>
  <c r="I426" i="1" s="1"/>
  <c r="J425" i="1"/>
  <c r="F438" i="1"/>
  <c r="G629" i="1" s="1"/>
  <c r="J629" i="1" s="1"/>
  <c r="G438" i="1"/>
  <c r="H438" i="1"/>
  <c r="G631" i="1"/>
  <c r="F444" i="1"/>
  <c r="F451" i="1" s="1"/>
  <c r="H629" i="1" s="1"/>
  <c r="G444" i="1"/>
  <c r="H444" i="1"/>
  <c r="F450" i="1"/>
  <c r="G450" i="1"/>
  <c r="H450" i="1"/>
  <c r="G451" i="1"/>
  <c r="H630" i="1" s="1"/>
  <c r="J630" i="1" s="1"/>
  <c r="H451" i="1"/>
  <c r="H631" i="1" s="1"/>
  <c r="J631" i="1" s="1"/>
  <c r="F460" i="1"/>
  <c r="F466" i="1" s="1"/>
  <c r="H612" i="1" s="1"/>
  <c r="J612" i="1" s="1"/>
  <c r="G460" i="1"/>
  <c r="H460" i="1"/>
  <c r="I460" i="1"/>
  <c r="J460" i="1"/>
  <c r="F464" i="1"/>
  <c r="G464" i="1"/>
  <c r="G466" i="1" s="1"/>
  <c r="H613" i="1" s="1"/>
  <c r="G613" i="1"/>
  <c r="J613" i="1" s="1"/>
  <c r="H464" i="1"/>
  <c r="I464" i="1"/>
  <c r="I466" i="1" s="1"/>
  <c r="H615" i="1" s="1"/>
  <c r="J464" i="1"/>
  <c r="G612" i="1"/>
  <c r="H466" i="1"/>
  <c r="H614" i="1" s="1"/>
  <c r="J466" i="1"/>
  <c r="H616" i="1" s="1"/>
  <c r="K485" i="1"/>
  <c r="K486" i="1"/>
  <c r="K487" i="1"/>
  <c r="K488" i="1"/>
  <c r="K489" i="1"/>
  <c r="K491" i="1"/>
  <c r="K492" i="1"/>
  <c r="K493" i="1"/>
  <c r="F507" i="1"/>
  <c r="G507" i="1"/>
  <c r="H507" i="1"/>
  <c r="I507" i="1"/>
  <c r="F514" i="1"/>
  <c r="G514" i="1"/>
  <c r="H514" i="1"/>
  <c r="I514" i="1"/>
  <c r="J514" i="1"/>
  <c r="J535" i="1" s="1"/>
  <c r="K514" i="1"/>
  <c r="K535" i="1" s="1"/>
  <c r="L514" i="1"/>
  <c r="F519" i="1"/>
  <c r="G519" i="1"/>
  <c r="H519" i="1"/>
  <c r="I519" i="1"/>
  <c r="I535" i="1" s="1"/>
  <c r="J519" i="1"/>
  <c r="K519" i="1"/>
  <c r="F524" i="1"/>
  <c r="G524" i="1"/>
  <c r="H524" i="1"/>
  <c r="H535" i="1" s="1"/>
  <c r="I524" i="1"/>
  <c r="J524" i="1"/>
  <c r="K524" i="1"/>
  <c r="L524" i="1"/>
  <c r="F529" i="1"/>
  <c r="G529" i="1"/>
  <c r="H529" i="1"/>
  <c r="I529" i="1"/>
  <c r="J529" i="1"/>
  <c r="K529" i="1"/>
  <c r="F534" i="1"/>
  <c r="G534" i="1"/>
  <c r="G535" i="1" s="1"/>
  <c r="H534" i="1"/>
  <c r="I534" i="1"/>
  <c r="J534" i="1"/>
  <c r="K534" i="1"/>
  <c r="L534" i="1"/>
  <c r="L547" i="1"/>
  <c r="L548" i="1"/>
  <c r="L549" i="1"/>
  <c r="L550" i="1" s="1"/>
  <c r="F550" i="1"/>
  <c r="G550" i="1"/>
  <c r="H550" i="1"/>
  <c r="I550" i="1"/>
  <c r="I561" i="1"/>
  <c r="J550" i="1"/>
  <c r="K550" i="1"/>
  <c r="K561" i="1" s="1"/>
  <c r="L552" i="1"/>
  <c r="L553" i="1"/>
  <c r="L554" i="1"/>
  <c r="F555" i="1"/>
  <c r="G555" i="1"/>
  <c r="H555" i="1"/>
  <c r="I555" i="1"/>
  <c r="J555" i="1"/>
  <c r="J561" i="1" s="1"/>
  <c r="K555" i="1"/>
  <c r="L557" i="1"/>
  <c r="L560" i="1" s="1"/>
  <c r="L558" i="1"/>
  <c r="L559" i="1"/>
  <c r="F560" i="1"/>
  <c r="G560" i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H639" i="1" s="1"/>
  <c r="I588" i="1"/>
  <c r="H640" i="1" s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14" i="1"/>
  <c r="H617" i="1"/>
  <c r="H619" i="1"/>
  <c r="H620" i="1"/>
  <c r="H621" i="1"/>
  <c r="H622" i="1"/>
  <c r="H623" i="1"/>
  <c r="G624" i="1"/>
  <c r="J624" i="1" s="1"/>
  <c r="H625" i="1"/>
  <c r="G626" i="1"/>
  <c r="J626" i="1" s="1"/>
  <c r="H626" i="1"/>
  <c r="H627" i="1"/>
  <c r="H628" i="1"/>
  <c r="G630" i="1"/>
  <c r="G633" i="1"/>
  <c r="G634" i="1"/>
  <c r="H637" i="1"/>
  <c r="G639" i="1"/>
  <c r="G640" i="1"/>
  <c r="J640" i="1" s="1"/>
  <c r="H641" i="1"/>
  <c r="G642" i="1"/>
  <c r="H642" i="1"/>
  <c r="J642" i="1" s="1"/>
  <c r="G643" i="1"/>
  <c r="H643" i="1"/>
  <c r="J643" i="1"/>
  <c r="G644" i="1"/>
  <c r="J644" i="1" s="1"/>
  <c r="H644" i="1"/>
  <c r="G645" i="1"/>
  <c r="J645" i="1" s="1"/>
  <c r="H645" i="1"/>
  <c r="G31" i="13"/>
  <c r="G33" i="13"/>
  <c r="D14" i="13"/>
  <c r="C14" i="13"/>
  <c r="C13" i="10"/>
  <c r="G249" i="1"/>
  <c r="G263" i="1" s="1"/>
  <c r="D55" i="2"/>
  <c r="D96" i="2"/>
  <c r="G9" i="2"/>
  <c r="G635" i="1"/>
  <c r="C115" i="2"/>
  <c r="F651" i="1"/>
  <c r="I651" i="1" s="1"/>
  <c r="C24" i="10"/>
  <c r="C18" i="10"/>
  <c r="G151" i="2"/>
  <c r="G152" i="2"/>
  <c r="G150" i="2"/>
  <c r="H542" i="1"/>
  <c r="E101" i="2" l="1"/>
  <c r="E107" i="2" s="1"/>
  <c r="J33" i="1"/>
  <c r="G22" i="2"/>
  <c r="G32" i="2" s="1"/>
  <c r="C19" i="12"/>
  <c r="C22" i="12" s="1"/>
  <c r="A22" i="12" s="1"/>
  <c r="G650" i="1"/>
  <c r="G654" i="1" s="1"/>
  <c r="J635" i="1"/>
  <c r="H561" i="1"/>
  <c r="C95" i="2"/>
  <c r="F42" i="2"/>
  <c r="F43" i="2" s="1"/>
  <c r="J19" i="1"/>
  <c r="G611" i="1" s="1"/>
  <c r="E116" i="2"/>
  <c r="C21" i="10"/>
  <c r="D15" i="13"/>
  <c r="C15" i="13" s="1"/>
  <c r="F652" i="1"/>
  <c r="I652" i="1" s="1"/>
  <c r="C116" i="2"/>
  <c r="F33" i="13"/>
  <c r="D5" i="13"/>
  <c r="L535" i="1"/>
  <c r="G96" i="2"/>
  <c r="J614" i="1"/>
  <c r="G561" i="1"/>
  <c r="C43" i="2"/>
  <c r="E117" i="2"/>
  <c r="E120" i="2" s="1"/>
  <c r="L555" i="1"/>
  <c r="L561" i="1" s="1"/>
  <c r="E33" i="13"/>
  <c r="D35" i="13" s="1"/>
  <c r="C8" i="13"/>
  <c r="F561" i="1"/>
  <c r="F535" i="1"/>
  <c r="G42" i="2"/>
  <c r="D43" i="2"/>
  <c r="I438" i="1"/>
  <c r="G632" i="1" s="1"/>
  <c r="J632" i="1" s="1"/>
  <c r="F19" i="2"/>
  <c r="C10" i="12"/>
  <c r="C13" i="12" s="1"/>
  <c r="A13" i="12" s="1"/>
  <c r="E136" i="2"/>
  <c r="L203" i="1"/>
  <c r="F96" i="2"/>
  <c r="C103" i="2"/>
  <c r="C107" i="2" s="1"/>
  <c r="J263" i="1"/>
  <c r="H638" i="1"/>
  <c r="J638" i="1" s="1"/>
  <c r="E153" i="2"/>
  <c r="G153" i="2" s="1"/>
  <c r="K490" i="1"/>
  <c r="L400" i="1"/>
  <c r="C130" i="2"/>
  <c r="J639" i="1"/>
  <c r="H426" i="1"/>
  <c r="C62" i="2"/>
  <c r="G636" i="1"/>
  <c r="G621" i="1"/>
  <c r="J621" i="1" s="1"/>
  <c r="E55" i="2"/>
  <c r="E96" i="2" s="1"/>
  <c r="L393" i="1"/>
  <c r="C131" i="2" s="1"/>
  <c r="J633" i="1"/>
  <c r="G426" i="1"/>
  <c r="I44" i="1"/>
  <c r="H610" i="1" s="1"/>
  <c r="J610" i="1" s="1"/>
  <c r="J607" i="1"/>
  <c r="G155" i="2"/>
  <c r="K540" i="1"/>
  <c r="C38" i="10"/>
  <c r="L239" i="1"/>
  <c r="H650" i="1" s="1"/>
  <c r="H654" i="1" s="1"/>
  <c r="C73" i="2"/>
  <c r="K588" i="1"/>
  <c r="G637" i="1" s="1"/>
  <c r="J637" i="1" s="1"/>
  <c r="G137" i="2"/>
  <c r="F542" i="1"/>
  <c r="K539" i="1"/>
  <c r="G185" i="1"/>
  <c r="G618" i="1" s="1"/>
  <c r="J618" i="1" s="1"/>
  <c r="C55" i="2"/>
  <c r="C96" i="2" s="1"/>
  <c r="H104" i="1"/>
  <c r="H185" i="1" s="1"/>
  <c r="G619" i="1" s="1"/>
  <c r="J619" i="1" s="1"/>
  <c r="C17" i="10"/>
  <c r="J43" i="1"/>
  <c r="H25" i="13"/>
  <c r="D6" i="13"/>
  <c r="C6" i="13" s="1"/>
  <c r="C15" i="10"/>
  <c r="F161" i="1"/>
  <c r="C39" i="10" s="1"/>
  <c r="D119" i="2"/>
  <c r="D120" i="2" s="1"/>
  <c r="D137" i="2" s="1"/>
  <c r="C122" i="2"/>
  <c r="L320" i="1"/>
  <c r="C19" i="10"/>
  <c r="L354" i="1"/>
  <c r="I444" i="1"/>
  <c r="I451" i="1" s="1"/>
  <c r="H632" i="1" s="1"/>
  <c r="E126" i="2"/>
  <c r="C12" i="10"/>
  <c r="C111" i="2"/>
  <c r="C120" i="2" s="1"/>
  <c r="L282" i="1"/>
  <c r="C10" i="10"/>
  <c r="C113" i="2"/>
  <c r="C11" i="10"/>
  <c r="G641" i="1"/>
  <c r="J641" i="1" s="1"/>
  <c r="G615" i="1"/>
  <c r="J615" i="1" s="1"/>
  <c r="C35" i="10"/>
  <c r="E13" i="13"/>
  <c r="C13" i="13" s="1"/>
  <c r="E123" i="2"/>
  <c r="F22" i="13"/>
  <c r="C22" i="13" s="1"/>
  <c r="F185" i="1" l="1"/>
  <c r="G617" i="1" s="1"/>
  <c r="J617" i="1" s="1"/>
  <c r="F650" i="1"/>
  <c r="L249" i="1"/>
  <c r="L263" i="1" s="1"/>
  <c r="G622" i="1" s="1"/>
  <c r="J622" i="1" s="1"/>
  <c r="G625" i="1"/>
  <c r="J625" i="1" s="1"/>
  <c r="C27" i="10"/>
  <c r="C36" i="10"/>
  <c r="C41" i="10" s="1"/>
  <c r="K542" i="1"/>
  <c r="C5" i="13"/>
  <c r="C133" i="2"/>
  <c r="C136" i="2" s="1"/>
  <c r="C137" i="2" s="1"/>
  <c r="G627" i="1"/>
  <c r="J627" i="1" s="1"/>
  <c r="H636" i="1"/>
  <c r="J636" i="1" s="1"/>
  <c r="G662" i="1"/>
  <c r="G657" i="1"/>
  <c r="C25" i="13"/>
  <c r="H33" i="13"/>
  <c r="E137" i="2"/>
  <c r="L330" i="1"/>
  <c r="L344" i="1" s="1"/>
  <c r="G623" i="1" s="1"/>
  <c r="J623" i="1" s="1"/>
  <c r="D31" i="13"/>
  <c r="C31" i="13" s="1"/>
  <c r="H657" i="1"/>
  <c r="H662" i="1"/>
  <c r="C6" i="10" s="1"/>
  <c r="G616" i="1"/>
  <c r="J44" i="1"/>
  <c r="H611" i="1" s="1"/>
  <c r="G43" i="2"/>
  <c r="J611" i="1"/>
  <c r="D37" i="10" l="1"/>
  <c r="D40" i="10"/>
  <c r="D38" i="10"/>
  <c r="D35" i="10"/>
  <c r="D39" i="10"/>
  <c r="J616" i="1"/>
  <c r="H646" i="1"/>
  <c r="C28" i="10"/>
  <c r="D36" i="10"/>
  <c r="F654" i="1"/>
  <c r="I650" i="1"/>
  <c r="I654" i="1" s="1"/>
  <c r="D33" i="13"/>
  <c r="D36" i="13" s="1"/>
  <c r="I662" i="1" l="1"/>
  <c r="C7" i="10" s="1"/>
  <c r="I657" i="1"/>
  <c r="F662" i="1"/>
  <c r="C4" i="10" s="1"/>
  <c r="F657" i="1"/>
  <c r="D22" i="10"/>
  <c r="C30" i="10"/>
  <c r="D25" i="10"/>
  <c r="D26" i="10"/>
  <c r="D24" i="10"/>
  <c r="D23" i="10"/>
  <c r="D20" i="10"/>
  <c r="D16" i="10"/>
  <c r="D13" i="10"/>
  <c r="D18" i="10"/>
  <c r="D19" i="10"/>
  <c r="D11" i="10"/>
  <c r="D21" i="10"/>
  <c r="D10" i="10"/>
  <c r="D12" i="10"/>
  <c r="D15" i="10"/>
  <c r="D17" i="10"/>
  <c r="D27" i="10"/>
  <c r="D41" i="10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698E8EFF-D7C1-4B45-B709-BB6AA3FC400E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3EADD304-B82F-4AF8-9415-6D9CE3C4D788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07153583-DD69-442A-B06E-39AD2A05E18F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33506034-4593-47F3-9AA6-6056FA3A3E72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0C0B1933-4DAB-4679-8506-95038BDA681F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C5676AA2-2A47-4F28-AFCF-0BEF351677D3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A29D1867-A18C-4F4D-B7D9-433E9E1AF2E1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67C8380A-E690-438F-B169-8DE7AF2B259B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57307E09-9411-434F-BA30-CA0503C1AA73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C1419581-A938-4976-877D-C9D2AA69845A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90E8C7E7-EB82-4312-A446-20C57ED8A43C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0E459517-9C01-4FFA-925F-91FE48ED88AB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<sst xmlns="http://schemas.openxmlformats.org/spreadsheetml/2006/main" count="3867" uniqueCount="903">
  <si>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</si>
  <si>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</si>
  <si>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</si>
  <si>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</si>
  <si>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</si>
  <si>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</si>
  <si>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</si>
  <si>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</si>
  <si>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</si>
  <si>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</si>
  <si>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</si>
  <si>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</si>
  <si>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</si>
  <si>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</si>
  <si>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</si>
  <si>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</si>
  <si>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</si>
  <si>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</si>
  <si>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</si>
  <si>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</si>
  <si>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</si>
  <si>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</si>
  <si>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</si>
  <si>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</si>
  <si>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</si>
  <si>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</si>
  <si>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</si>
  <si>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</si>
  <si>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</si>
  <si>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</si>
  <si>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</si>
  <si>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</si>
  <si>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</si>
  <si>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</si>
  <si>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</si>
  <si>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</si>
  <si>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</si>
  <si>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</si>
  <si>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</si>
  <si>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</si>
  <si>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</si>
  <si>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</si>
  <si>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</si>
  <si>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</si>
  <si>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</si>
  <si>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</si>
  <si>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</si>
  <si>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</si>
  <si>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</si>
  <si>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</si>
  <si>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</si>
  <si>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</si>
  <si>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</si>
  <si>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</si>
  <si>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</si>
  <si>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</si>
  <si>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</si>
  <si>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</si>
  <si>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</si>
  <si>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</si>
  <si>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</si>
  <si>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</si>
  <si>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</si>
  <si>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</si>
  <si>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</si>
  <si>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</si>
  <si>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</si>
  <si>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</si>
  <si>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</si>
  <si>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</si>
  <si>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</si>
  <si>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</si>
  <si>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</si>
  <si>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</si>
  <si>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</si>
  <si>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</si>
  <si>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</si>
  <si>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</si>
  <si>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</si>
  <si>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</si>
  <si>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</si>
  <si>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</si>
  <si>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</si>
  <si>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</si>
  <si>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</si>
  <si>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</si>
  <si>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</si>
  <si>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</si>
  <si>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</si>
  <si>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</si>
  <si>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</si>
  <si>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</si>
  <si>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</si>
  <si>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</si>
  <si>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</si>
  <si>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</si>
  <si>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</si>
  <si>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</si>
  <si>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</si>
  <si>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</si>
  <si>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</si>
  <si>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</si>
  <si>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</si>
  <si>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</si>
  <si>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</si>
  <si>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</si>
  <si>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</si>
  <si>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</si>
  <si>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</si>
  <si>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</si>
  <si>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</si>
  <si>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</si>
  <si>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</si>
  <si>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</si>
  <si>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</si>
  <si>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</si>
  <si>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</si>
  <si>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</si>
  <si>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</si>
  <si>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</si>
  <si>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</si>
  <si>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</si>
  <si>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</si>
  <si>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</si>
  <si>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</si>
  <si>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</si>
  <si>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</si>
  <si>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</si>
  <si>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</si>
  <si>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</si>
  <si>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</si>
  <si>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</si>
  <si>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</si>
  <si>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</si>
  <si>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</si>
  <si>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</si>
  <si>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</si>
  <si>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</si>
  <si>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</si>
  <si>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</si>
  <si>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</si>
  <si>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</si>
  <si>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</si>
  <si>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</si>
  <si>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</si>
  <si>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</si>
  <si>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</si>
  <si>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</si>
  <si>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</si>
  <si>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</si>
  <si>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</si>
  <si>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</si>
  <si>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</si>
  <si>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</si>
  <si>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</si>
  <si>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</si>
  <si>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</si>
  <si>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</si>
  <si>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</si>
  <si>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</si>
  <si>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</si>
  <si>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</si>
  <si>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</si>
  <si>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</si>
  <si>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</si>
  <si>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</si>
  <si>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</si>
  <si>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</si>
  <si>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</si>
  <si>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</si>
  <si>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</si>
  <si>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</si>
  <si>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</si>
  <si>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</si>
  <si>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</si>
  <si>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</si>
  <si>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</si>
  <si>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</si>
  <si>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</si>
  <si>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</si>
  <si>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</si>
  <si>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</si>
  <si>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</si>
  <si>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</si>
  <si>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</si>
  <si>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</si>
  <si>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</si>
  <si>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</si>
  <si>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</si>
  <si>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</si>
  <si>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</si>
  <si>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</si>
  <si>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</si>
  <si>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</si>
  <si>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</si>
  <si>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</si>
  <si>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</si>
  <si>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</si>
  <si>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</si>
  <si>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</si>
  <si>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</si>
  <si>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</si>
  <si>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</si>
  <si>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</si>
  <si>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</si>
  <si>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</si>
  <si>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</si>
  <si>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</si>
  <si>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</si>
  <si>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</si>
  <si>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</si>
  <si>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</si>
  <si>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</si>
  <si>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</si>
  <si>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</si>
  <si>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</si>
  <si>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</si>
  <si>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</si>
  <si>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</si>
  <si>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</si>
  <si>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</si>
  <si>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</si>
  <si>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</si>
  <si>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</si>
  <si>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</si>
  <si>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</si>
  <si>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</si>
  <si>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</si>
  <si>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</si>
  <si>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</si>
  <si>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</si>
  <si>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</si>
  <si>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</si>
  <si>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</si>
  <si>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</si>
  <si>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</si>
  <si>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</si>
  <si>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</si>
  <si>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</si>
  <si>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</si>
  <si>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</si>
  <si>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</si>
  <si>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</si>
  <si>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</si>
  <si>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</si>
  <si>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</si>
  <si>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</si>
  <si>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</si>
  <si>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</si>
  <si>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</si>
  <si>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</si>
  <si>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</si>
  <si>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</si>
  <si>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</si>
  <si>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</si>
  <si>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</si>
  <si>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</si>
  <si>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</si>
  <si>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</si>
  <si>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</si>
  <si>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</si>
  <si>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</si>
  <si>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</si>
  <si>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</si>
  <si>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</si>
  <si>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</si>
  <si>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</si>
  <si>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</si>
  <si>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</si>
  <si>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</si>
  <si>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</si>
  <si>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</si>
  <si>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</si>
  <si>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</si>
  <si>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</si>
  <si>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</si>
  <si>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</si>
  <si>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</si>
  <si>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</si>
  <si>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</si>
  <si>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</si>
  <si>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</si>
  <si>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</si>
  <si>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</si>
  <si>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</si>
  <si>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</si>
  <si>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</si>
  <si>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</si>
  <si>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</si>
  <si>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</si>
  <si>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</si>
  <si>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</si>
  <si>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</si>
  <si>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</si>
  <si>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</si>
  <si>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</si>
  <si>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</si>
  <si>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</si>
  <si>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</si>
  <si>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</si>
  <si>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</si>
  <si>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</si>
  <si>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</si>
  <si>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</si>
  <si>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</si>
  <si>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</si>
  <si>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</si>
  <si>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</si>
  <si>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</si>
  <si>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</si>
  <si>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</si>
  <si>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</si>
  <si>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</si>
  <si>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</si>
  <si>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</si>
  <si>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</si>
  <si>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</si>
  <si>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</si>
  <si>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</si>
  <si>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</si>
  <si>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</si>
  <si>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</si>
  <si>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</si>
  <si>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</si>
  <si>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</si>
  <si>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</si>
  <si>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</si>
  <si>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</si>
  <si>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</si>
  <si>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</si>
  <si>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</si>
  <si>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</si>
  <si>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</si>
  <si>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</si>
  <si>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</si>
  <si>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</si>
  <si>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</si>
  <si>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</si>
  <si>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</si>
  <si>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</si>
  <si>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</si>
  <si>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</si>
  <si>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</si>
  <si>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</si>
  <si>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</si>
  <si>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</si>
  <si>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</si>
  <si>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</si>
  <si>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</si>
  <si>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</si>
  <si>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</si>
  <si>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</si>
  <si>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</si>
  <si>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</si>
  <si>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</si>
  <si>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</si>
  <si>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</si>
  <si>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</si>
  <si>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</si>
  <si>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</si>
  <si>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</si>
  <si>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</si>
  <si>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</si>
  <si>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</si>
  <si>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</si>
  <si>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</si>
  <si>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</si>
  <si>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</si>
  <si>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</si>
  <si>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</si>
  <si>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</si>
  <si>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</si>
  <si>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</si>
  <si>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</si>
  <si>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</si>
  <si>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</si>
  <si>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</si>
  <si>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</si>
  <si>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</si>
  <si>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</si>
  <si>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</si>
  <si>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</si>
  <si>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</si>
  <si>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</si>
  <si>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</si>
  <si>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</si>
  <si>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</si>
  <si>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</si>
  <si>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</si>
  <si>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</si>
  <si>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</si>
  <si>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</si>
  <si>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</si>
  <si>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</si>
  <si>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</si>
  <si>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</si>
  <si>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</si>
  <si>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</si>
  <si>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</si>
  <si>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</si>
  <si>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</si>
  <si>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</si>
  <si>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</si>
  <si>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</si>
  <si>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</si>
  <si>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</si>
  <si>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</si>
  <si>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</si>
  <si>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</si>
  <si>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</si>
  <si>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</si>
  <si>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</si>
  <si>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</si>
  <si>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</si>
  <si>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</si>
  <si>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</si>
  <si>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</si>
  <si>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</si>
  <si>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</si>
  <si>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</si>
  <si>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</si>
  <si>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</si>
  <si>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</si>
  <si>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</si>
  <si>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</si>
  <si>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</si>
  <si>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</si>
  <si>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</si>
  <si>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</si>
  <si>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</si>
  <si>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</si>
  <si>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</si>
  <si>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</si>
  <si>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</si>
  <si>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</si>
  <si>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</si>
  <si>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</si>
  <si>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</si>
  <si>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</si>
  <si>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</si>
  <si>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</si>
  <si>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</si>
  <si>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</si>
  <si>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</si>
  <si>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</si>
  <si>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</si>
  <si>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</si>
  <si>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</si>
  <si>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</si>
  <si>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</si>
  <si>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</si>
  <si>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</si>
  <si>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</si>
  <si>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</si>
  <si>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</si>
  <si>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</si>
  <si>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</si>
  <si>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</si>
  <si>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</si>
  <si>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</si>
  <si>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</si>
  <si>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</si>
  <si>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</si>
  <si>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</si>
  <si>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</si>
  <si>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</si>
  <si>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</si>
  <si>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</si>
  <si>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</si>
  <si>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</si>
  <si>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</si>
  <si>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</si>
  <si>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</si>
  <si>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</si>
  <si>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</si>
  <si>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</si>
  <si>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</si>
  <si>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</si>
  <si>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</si>
  <si>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</si>
  <si>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</si>
  <si>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</si>
  <si>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</si>
  <si>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</si>
  <si>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</si>
  <si>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</si>
  <si>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</si>
  <si>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</si>
  <si>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</si>
  <si>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</si>
  <si>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</si>
  <si>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</si>
  <si>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</si>
  <si>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</si>
  <si>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</si>
  <si>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</si>
  <si>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</si>
  <si>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</si>
  <si>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</si>
  <si>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</si>
  <si>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</si>
  <si>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</si>
  <si>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</si>
  <si>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</si>
  <si>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</si>
  <si>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</si>
  <si>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</si>
  <si>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</si>
  <si>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</si>
  <si>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</si>
  <si>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</si>
  <si>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</si>
  <si>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</si>
  <si>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</si>
  <si>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</si>
  <si>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</si>
  <si>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</si>
  <si>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</si>
  <si>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</si>
  <si>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</si>
  <si>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</si>
  <si>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</si>
  <si>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</si>
  <si>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</si>
  <si>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</si>
  <si>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</si>
  <si>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</si>
  <si>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</si>
  <si>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</si>
  <si>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</si>
  <si>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</si>
  <si>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</si>
  <si>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</si>
  <si>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</si>
  <si>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</si>
  <si>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</si>
  <si>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</si>
  <si>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</si>
  <si>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</si>
  <si>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</si>
  <si>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</si>
  <si>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</si>
  <si>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</si>
  <si>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</si>
  <si>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</si>
  <si>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</si>
  <si>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</si>
  <si>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</si>
  <si>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</si>
  <si>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</si>
  <si>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</si>
  <si>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</si>
  <si>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</si>
  <si>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</si>
  <si>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</si>
  <si>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</si>
  <si>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</si>
  <si>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</si>
  <si>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</si>
  <si>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</si>
  <si>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</si>
  <si>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</si>
  <si>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</si>
  <si>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</si>
  <si>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</si>
  <si>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</si>
  <si>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</si>
  <si>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</si>
  <si>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</si>
  <si>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</si>
  <si>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</si>
  <si>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</si>
  <si>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</si>
  <si>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</si>
  <si>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</si>
  <si>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</si>
  <si>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</si>
  <si>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</si>
  <si>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</si>
  <si>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</si>
  <si>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</si>
  <si>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</si>
  <si>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</si>
  <si>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</si>
  <si>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</si>
  <si>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</si>
  <si>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</si>
  <si>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</si>
  <si>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</si>
  <si>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</si>
  <si>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</si>
  <si>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</si>
  <si>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</si>
  <si>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</si>
  <si>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</si>
  <si>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</si>
  <si>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</si>
  <si>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</si>
  <si>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</si>
  <si>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</si>
  <si>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</si>
  <si>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</si>
  <si>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</si>
  <si>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</si>
  <si>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</si>
  <si>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</si>
  <si>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</si>
  <si>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</si>
  <si>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</si>
  <si>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</si>
  <si>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</si>
  <si>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</si>
  <si>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</si>
  <si>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</si>
  <si>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</si>
  <si>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</si>
  <si>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</si>
  <si>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</si>
  <si>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</si>
  <si>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</si>
  <si>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</si>
  <si>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</si>
  <si>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</si>
  <si>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</si>
  <si>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</si>
  <si>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</si>
  <si>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</si>
  <si>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</si>
  <si>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</si>
  <si>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</si>
  <si>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</si>
  <si>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</si>
  <si>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</si>
  <si>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</si>
  <si>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</si>
  <si>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</si>
  <si>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</si>
  <si>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</si>
  <si>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</si>
  <si>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</si>
  <si>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</si>
  <si>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</si>
  <si>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</si>
  <si>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</si>
  <si>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</si>
  <si>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</si>
  <si>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</si>
  <si>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</si>
  <si>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</si>
  <si>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</si>
  <si>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</si>
  <si>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</si>
  <si>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</si>
  <si>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</si>
  <si>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</si>
  <si>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</si>
  <si>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</si>
  <si>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</si>
  <si>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</si>
  <si>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</si>
  <si>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</si>
  <si>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</si>
  <si>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</si>
  <si>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</si>
  <si>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</si>
  <si>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</si>
  <si>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</si>
  <si>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</si>
  <si>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</si>
  <si>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</si>
  <si>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</si>
  <si>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</si>
  <si>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</si>
  <si>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</si>
  <si>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</si>
  <si>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</si>
  <si>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</si>
  <si>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</si>
  <si>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</si>
  <si>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</si>
  <si>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</si>
  <si>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</si>
  <si>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</si>
  <si>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</si>
  <si>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</si>
  <si>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</si>
  <si>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</si>
  <si>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</si>
  <si>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</si>
  <si>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</si>
  <si>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</si>
  <si>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</si>
  <si>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</si>
  <si>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</si>
  <si>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</si>
  <si>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</si>
  <si>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</si>
  <si>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</si>
  <si>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</si>
  <si>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</si>
  <si>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</si>
  <si>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</si>
  <si>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</si>
  <si>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</si>
  <si>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</si>
  <si>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</si>
  <si>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</si>
  <si>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</si>
  <si>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</si>
  <si>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</si>
  <si>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</si>
  <si>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</si>
  <si>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</si>
  <si>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</si>
  <si>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</si>
  <si>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</si>
  <si>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</si>
  <si>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</si>
  <si>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</si>
  <si>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</si>
  <si>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</si>
  <si>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</si>
  <si>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</si>
  <si>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</si>
  <si>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</si>
  <si>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</si>
  <si>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</si>
  <si>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</si>
  <si>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</si>
  <si>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</si>
  <si>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</si>
  <si>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</si>
  <si>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</si>
  <si>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</si>
  <si>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</si>
  <si>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</si>
  <si>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</si>
  <si>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</si>
  <si>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</si>
  <si>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</si>
  <si>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</si>
  <si>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</si>
  <si>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</si>
  <si>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</si>
  <si>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</si>
  <si>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</si>
  <si>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</si>
  <si>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</si>
  <si>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</si>
  <si>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</si>
  <si>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</si>
  <si>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</si>
  <si>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</si>
  <si>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</si>
  <si>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</si>
  <si>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</si>
  <si>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</si>
  <si>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</si>
  <si>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</si>
  <si>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</si>
  <si>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</si>
  <si>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</si>
  <si>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</si>
  <si>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</si>
  <si>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</si>
  <si>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</si>
  <si>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</si>
  <si>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</si>
  <si>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</si>
  <si>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</si>
  <si>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</si>
  <si>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</si>
  <si>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</si>
  <si>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</si>
  <si>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</si>
  <si>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</si>
  <si>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</si>
  <si>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</si>
  <si>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</si>
  <si>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</si>
  <si>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</si>
  <si>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</si>
  <si>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</si>
  <si>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</si>
  <si>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</si>
  <si>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</si>
  <si>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</si>
  <si>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</si>
  <si>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</si>
  <si>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</si>
  <si>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</si>
  <si>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</si>
  <si>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</si>
  <si>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</si>
  <si>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</si>
  <si>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</si>
  <si>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</si>
  <si>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</si>
  <si>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</si>
  <si>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</si>
  <si>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</si>
  <si>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</si>
  <si>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</si>
  <si>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</si>
  <si>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</si>
  <si>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</si>
  <si>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</si>
  <si>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</si>
  <si>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</si>
  <si>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</si>
  <si>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</si>
  <si>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</si>
  <si>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</si>
  <si>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</si>
  <si>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</si>
  <si>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</si>
  <si>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</si>
  <si>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</si>
  <si>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</si>
  <si>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</si>
  <si>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</si>
  <si>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</si>
  <si>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</si>
  <si>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</si>
  <si>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</si>
  <si>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</si>
  <si>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</si>
  <si>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</si>
  <si>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</si>
  <si>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</si>
  <si>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</si>
  <si>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</si>
  <si>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</si>
  <si>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</si>
  <si>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</si>
  <si>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</si>
  <si>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</si>
  <si>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</si>
  <si>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</si>
  <si>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</si>
  <si>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</si>
  <si>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</si>
  <si>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</si>
  <si>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</si>
  <si>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</si>
  <si>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</si>
  <si>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</si>
  <si>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</si>
  <si>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</si>
  <si>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</si>
  <si>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</si>
  <si>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</si>
  <si>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</si>
  <si>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</si>
  <si>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</si>
  <si>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</si>
  <si>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</si>
  <si>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</si>
  <si>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</si>
  <si>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</si>
  <si>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</si>
  <si>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</si>
  <si>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</si>
  <si>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</si>
  <si>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</si>
  <si>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</si>
  <si>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</si>
  <si>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</si>
  <si>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</si>
  <si>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</si>
  <si>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</si>
  <si>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</si>
  <si>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</si>
  <si>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</si>
  <si>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</si>
  <si>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</si>
  <si>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</si>
  <si>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</si>
  <si>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</si>
  <si>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</si>
  <si>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</si>
  <si>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</si>
  <si>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</si>
  <si>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</si>
  <si>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</si>
  <si>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</si>
  <si>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</si>
  <si>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</si>
  <si>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</si>
  <si>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</si>
  <si>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</si>
  <si>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</si>
  <si>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</si>
  <si>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</si>
  <si>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July 1999</t>
  </si>
  <si>
    <t>Aug 2014</t>
  </si>
  <si>
    <t>July 2006</t>
  </si>
  <si>
    <t>July 2011</t>
  </si>
  <si>
    <t>August 2006</t>
  </si>
  <si>
    <t>August 2010</t>
  </si>
  <si>
    <t>October 2007</t>
  </si>
  <si>
    <t>October 2011</t>
  </si>
  <si>
    <t>Pittsburg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</si>
</sst>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0" fontId="28" fillId="0" borderId="0" xfId="0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D0736-9971-4D5A-AF66-DE5B4D7486F2}">
  <sheetPr transitionEvaluation="1" transitionEntry="1" codeName="Sheet1">
    <tabColor indexed="56"/>
  </sheetPr>
  <dimension ref="A1:AQ666"/>
  <sheetViews>
    <sheetView tabSelected="1" zoomScale="75" zoomScaleNormal="115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60" sqref="H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902</v>
      </c>
      <c r="B2" s="21">
        <v>437</v>
      </c>
      <c r="C2" s="21">
        <v>437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394776.58</v>
      </c>
      <c r="G9" s="18">
        <v>4492.2299999999996</v>
      </c>
      <c r="H9" s="18"/>
      <c r="I9" s="18"/>
      <c r="J9" s="67">
        <f>SUM(I431)</f>
        <v>536310.27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>
        <f>18434.89-5372.61</f>
        <v>13062.279999999999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26384.44</v>
      </c>
      <c r="G13" s="18">
        <v>8692.0499999999993</v>
      </c>
      <c r="H13" s="18">
        <v>5372.61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9980.34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4021.49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431141.36000000004</v>
      </c>
      <c r="G19" s="41">
        <f>SUM(G9:G18)</f>
        <v>17205.769999999997</v>
      </c>
      <c r="H19" s="41">
        <f>SUM(H9:H18)</f>
        <v>18434.89</v>
      </c>
      <c r="I19" s="41">
        <f>SUM(I9:I18)</f>
        <v>0</v>
      </c>
      <c r="J19" s="41">
        <f>SUM(J9:J18)</f>
        <v>536310.27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12243.3</v>
      </c>
      <c r="G23" s="18">
        <v>818.98</v>
      </c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 t="s">
        <v>310</v>
      </c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28400.85</v>
      </c>
      <c r="G25" s="18">
        <v>529.86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f>8243.8+920.81+1633.94+6018.2</f>
        <v>16816.75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18434.89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57460.899999999994</v>
      </c>
      <c r="G33" s="41">
        <f>SUM(G23:G32)</f>
        <v>1348.8400000000001</v>
      </c>
      <c r="H33" s="41">
        <f>SUM(H23:H32)</f>
        <v>18434.89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4021.49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12413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f>1257.38+94484.15-83906.09</f>
        <v>11835.440000000002</v>
      </c>
      <c r="H41" s="18"/>
      <c r="I41" s="18"/>
      <c r="J41" s="13">
        <f>SUM(I449)</f>
        <v>536310.27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337087.27+2866447.32-2829854.13-12413</f>
        <v>361267.45999999996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373680.45999999996</v>
      </c>
      <c r="G43" s="41">
        <f>SUM(G35:G42)</f>
        <v>15856.930000000002</v>
      </c>
      <c r="H43" s="41">
        <f>SUM(H35:H42)</f>
        <v>0</v>
      </c>
      <c r="I43" s="41">
        <f>SUM(I35:I42)</f>
        <v>0</v>
      </c>
      <c r="J43" s="41">
        <f>SUM(J35:J42)</f>
        <v>536310.27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431141.36</v>
      </c>
      <c r="G44" s="41">
        <f>G43+G33</f>
        <v>17205.770000000004</v>
      </c>
      <c r="H44" s="41">
        <f>H43+H33</f>
        <v>18434.89</v>
      </c>
      <c r="I44" s="41">
        <f>I43+I33</f>
        <v>0</v>
      </c>
      <c r="J44" s="41">
        <f>J43+J33</f>
        <v>536310.27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1674990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1674990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355662.72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355662.72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246.2</v>
      </c>
      <c r="G88" s="18"/>
      <c r="H88" s="18"/>
      <c r="I88" s="18"/>
      <c r="J88" s="18">
        <v>1323.17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30970.65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208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150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43502.87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8093.57</v>
      </c>
      <c r="G102" s="18"/>
      <c r="H102" s="18">
        <f>4354.94+0.19</f>
        <v>4355.1299999999992</v>
      </c>
      <c r="I102" s="18"/>
      <c r="J102" s="18">
        <v>256.67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52200.639999999999</v>
      </c>
      <c r="G103" s="41">
        <f>SUM(G88:G102)</f>
        <v>30970.65</v>
      </c>
      <c r="H103" s="41">
        <f>SUM(H88:H102)</f>
        <v>4355.1299999999992</v>
      </c>
      <c r="I103" s="41">
        <f>SUM(I88:I102)</f>
        <v>0</v>
      </c>
      <c r="J103" s="41">
        <f>SUM(J88:J102)</f>
        <v>1579.8400000000001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2082853.3599999999</v>
      </c>
      <c r="G104" s="41">
        <f>G52+G103</f>
        <v>30970.65</v>
      </c>
      <c r="H104" s="41">
        <f>H52+H71+H86+H103</f>
        <v>4355.1299999999992</v>
      </c>
      <c r="I104" s="41">
        <f>I52+I103</f>
        <v>0</v>
      </c>
      <c r="J104" s="41">
        <f>J52+J103</f>
        <v>1579.8400000000001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/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658206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/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658206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112166.62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973.41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112166.62</v>
      </c>
      <c r="G128" s="41">
        <f>SUM(G115:G127)</f>
        <v>973.41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770372.62</v>
      </c>
      <c r="G132" s="41">
        <f>G113+SUM(G128:G129)</f>
        <v>973.41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f>219.58+7151.23</f>
        <v>7370.8099999999995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51321.15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11481.11+362.99</f>
        <v>11844.1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32540.09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4226.79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4226.79</v>
      </c>
      <c r="G154" s="41">
        <f>SUM(G142:G153)</f>
        <v>32540.09</v>
      </c>
      <c r="H154" s="41">
        <f>SUM(H142:H153)</f>
        <v>70536.06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4226.79</v>
      </c>
      <c r="G161" s="41">
        <f>G139+G154+SUM(G155:G160)</f>
        <v>32540.09</v>
      </c>
      <c r="H161" s="41">
        <f>H139+H154+SUM(H155:H160)</f>
        <v>70536.06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30000</v>
      </c>
      <c r="H171" s="18"/>
      <c r="I171" s="18"/>
      <c r="J171" s="18">
        <v>20000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30000</v>
      </c>
      <c r="H175" s="41">
        <f>SUM(H171:H174)</f>
        <v>0</v>
      </c>
      <c r="I175" s="41">
        <f>SUM(I171:I174)</f>
        <v>0</v>
      </c>
      <c r="J175" s="41">
        <f>SUM(J171:J174)</f>
        <v>20000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8994.5499999999993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8994.5499999999993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8994.5499999999993</v>
      </c>
      <c r="G184" s="41">
        <f>G175+SUM(G180:G183)</f>
        <v>30000</v>
      </c>
      <c r="H184" s="41">
        <f>+H175+SUM(H180:H183)</f>
        <v>0</v>
      </c>
      <c r="I184" s="41">
        <f>I169+I175+SUM(I180:I183)</f>
        <v>0</v>
      </c>
      <c r="J184" s="41">
        <f>J175</f>
        <v>20000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2866447.32</v>
      </c>
      <c r="G185" s="47">
        <f>G104+G132+G161+G184</f>
        <v>94484.15</v>
      </c>
      <c r="H185" s="47">
        <f>H104+H132+H161+H184</f>
        <v>74891.19</v>
      </c>
      <c r="I185" s="47">
        <f>I104+I132+I161+I184</f>
        <v>0</v>
      </c>
      <c r="J185" s="47">
        <f>J104+J132+J184</f>
        <v>21579.84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457691.21+8654.1+9474.2</f>
        <v>475819.51</v>
      </c>
      <c r="G189" s="18">
        <f>156492.2+1296.64+35176.56+34928.27+2405.85+2204.02+378</f>
        <v>232881.54</v>
      </c>
      <c r="H189" s="18">
        <f>3071.63+4922.36+892.08</f>
        <v>8886.07</v>
      </c>
      <c r="I189" s="18">
        <f>12135.95+6918.25+48.49+126.5</f>
        <v>19229.190000000002</v>
      </c>
      <c r="J189" s="18">
        <f>766.03+474.97</f>
        <v>1241</v>
      </c>
      <c r="K189" s="18">
        <f>520.97</f>
        <v>520.97</v>
      </c>
      <c r="L189" s="19">
        <f>SUM(F189:K189)</f>
        <v>738578.28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37619.98+29529.21+2030</f>
        <v>69179.19</v>
      </c>
      <c r="G190" s="18">
        <f>12772.42+5091.35+2972.24+54.78+96.53</f>
        <v>20987.32</v>
      </c>
      <c r="H190" s="18">
        <f>2772+1050</f>
        <v>3822</v>
      </c>
      <c r="I190" s="18">
        <f>60+283.5+30</f>
        <v>373.5</v>
      </c>
      <c r="J190" s="18"/>
      <c r="K190" s="18">
        <v>269</v>
      </c>
      <c r="L190" s="19">
        <f>SUM(F190:K190)</f>
        <v>94631.010000000009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467.5+6450.5+1300</f>
        <v>8218</v>
      </c>
      <c r="G192" s="18">
        <f>35.77+35.02+571+331.78+48.81+99.46+97.38</f>
        <v>1219.2199999999998</v>
      </c>
      <c r="H192" s="18">
        <f>90</f>
        <v>90</v>
      </c>
      <c r="I192" s="18"/>
      <c r="J192" s="18"/>
      <c r="K192" s="18">
        <f>505.5+50</f>
        <v>555.5</v>
      </c>
      <c r="L192" s="19">
        <f>SUM(F192:K192)</f>
        <v>10082.719999999999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15188.75+12017.83+7859.8+1041.89</f>
        <v>36108.270000000004</v>
      </c>
      <c r="G194" s="18">
        <f>6935.48+1162.09+1142.33+58.51+919.36+37.28+79.7+78.71+1.98</f>
        <v>10415.44</v>
      </c>
      <c r="H194" s="18">
        <f>1277.5+21271.46+101.97+3450+10685.55+1590.25+69.76+2531.99</f>
        <v>40978.479999999996</v>
      </c>
      <c r="I194" s="18">
        <f>45.94+312.58+249.74+212.15+486.17+373.79+311.34+241.55+291.8+3637.21</f>
        <v>6162.27</v>
      </c>
      <c r="J194" s="18">
        <f>199.94+6924.25</f>
        <v>7124.19</v>
      </c>
      <c r="K194" s="18">
        <f>852</f>
        <v>852</v>
      </c>
      <c r="L194" s="19">
        <f t="shared" ref="L194:L200" si="0">SUM(F194:K194)</f>
        <v>101640.65000000001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22900.02</f>
        <v>22900.02</v>
      </c>
      <c r="G195" s="18">
        <f>1828.38+1715.22+60.45+1000</f>
        <v>4604.05</v>
      </c>
      <c r="H195" s="18">
        <f>392+52</f>
        <v>444</v>
      </c>
      <c r="I195" s="18">
        <f>69+1999.38</f>
        <v>2068.38</v>
      </c>
      <c r="J195" s="18">
        <f>199.96</f>
        <v>199.96</v>
      </c>
      <c r="K195" s="18">
        <f>250+1900+639</f>
        <v>2789</v>
      </c>
      <c r="L195" s="19">
        <f t="shared" si="0"/>
        <v>33005.410000000003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1933.45+999.96</f>
        <v>2933.41</v>
      </c>
      <c r="G196" s="18">
        <f>147.91+7.6+76.44+74.88</f>
        <v>306.83</v>
      </c>
      <c r="H196" s="18">
        <f>4863.65+2674.13+1547.36+1018.4+387.26+121584.06</f>
        <v>132074.85999999999</v>
      </c>
      <c r="I196" s="18">
        <f>285.2</f>
        <v>285.2</v>
      </c>
      <c r="J196" s="18"/>
      <c r="K196" s="18">
        <f>2993.49+25</f>
        <v>3018.49</v>
      </c>
      <c r="L196" s="19">
        <f t="shared" si="0"/>
        <v>138618.78999999998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33000+19931.29+2125</f>
        <v>55056.29</v>
      </c>
      <c r="G197" s="18">
        <f>11793.67+4126.71+4463.34+131.62</f>
        <v>20515.34</v>
      </c>
      <c r="H197" s="18">
        <f>1953.61+306+2128.66+312.94+1258.29+913.34</f>
        <v>6872.8399999999992</v>
      </c>
      <c r="I197" s="18">
        <f>604.47+66.09</f>
        <v>670.56000000000006</v>
      </c>
      <c r="J197" s="18"/>
      <c r="K197" s="18">
        <f>935.7</f>
        <v>935.7</v>
      </c>
      <c r="L197" s="19">
        <f t="shared" si="0"/>
        <v>84050.73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29454.97+667.73</f>
        <v>30122.7</v>
      </c>
      <c r="G199" s="18">
        <f>3516.42+2304.38+2696.7+1053.41+126</f>
        <v>9696.91</v>
      </c>
      <c r="H199" s="18">
        <f>39912.97+3531+1894.66+1735+33990.15+6673.33+4949.63+11</f>
        <v>92697.74</v>
      </c>
      <c r="I199" s="18">
        <f>10749.11+28172.07+31264.71+156.41</f>
        <v>70342.3</v>
      </c>
      <c r="J199" s="18">
        <f>1344.48+2152.52</f>
        <v>3497</v>
      </c>
      <c r="K199" s="18">
        <f>25</f>
        <v>25</v>
      </c>
      <c r="L199" s="19">
        <f t="shared" si="0"/>
        <v>206381.65000000002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f>24090.09+49.92+454.87+2267.11</f>
        <v>26861.989999999998</v>
      </c>
      <c r="G200" s="18">
        <f>1846.69+3.61+695.75+125+34.79+103.03+173.42+40.94</f>
        <v>3023.2300000000005</v>
      </c>
      <c r="H200" s="18">
        <f>11949.11+10064.85+1255+20.72+343.67+890.56</f>
        <v>24523.91</v>
      </c>
      <c r="I200" s="18">
        <f>458.31+151.92+7435.14+156.24+417.52</f>
        <v>8619.130000000001</v>
      </c>
      <c r="J200" s="18"/>
      <c r="K200" s="18">
        <f>369.25</f>
        <v>369.25</v>
      </c>
      <c r="L200" s="19">
        <f t="shared" si="0"/>
        <v>63397.509999999995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727199.38</v>
      </c>
      <c r="G203" s="41">
        <f t="shared" si="1"/>
        <v>303649.88</v>
      </c>
      <c r="H203" s="41">
        <f t="shared" si="1"/>
        <v>310389.89999999997</v>
      </c>
      <c r="I203" s="41">
        <f t="shared" si="1"/>
        <v>107750.53000000001</v>
      </c>
      <c r="J203" s="41">
        <f t="shared" si="1"/>
        <v>12062.149999999998</v>
      </c>
      <c r="K203" s="41">
        <f t="shared" si="1"/>
        <v>9334.91</v>
      </c>
      <c r="L203" s="41">
        <f t="shared" si="1"/>
        <v>1470386.7500000002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356958.85+7905.8</f>
        <v>364864.64999999997</v>
      </c>
      <c r="G225" s="18">
        <f>90888.62+600.86+27021.1+25063.14+1202+1084.72+504</f>
        <v>146364.43999999997</v>
      </c>
      <c r="H225" s="18">
        <f>1160.29+175+1728.64+69</f>
        <v>3132.9300000000003</v>
      </c>
      <c r="I225" s="18">
        <f>5632.11+7710.67+230.83+352.18</f>
        <v>13925.789999999999</v>
      </c>
      <c r="J225" s="18">
        <f>1795.62+2892.04</f>
        <v>4687.66</v>
      </c>
      <c r="K225" s="18">
        <v>163.13</v>
      </c>
      <c r="L225" s="19">
        <f>SUM(F225:K225)</f>
        <v>533138.6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4180.02+13293.07</f>
        <v>17473.09</v>
      </c>
      <c r="G226" s="18">
        <f>2920.7+1323.02+313.04+28.22</f>
        <v>4584.9799999999996</v>
      </c>
      <c r="H226" s="18"/>
      <c r="I226" s="18"/>
      <c r="J226" s="18"/>
      <c r="K226" s="18"/>
      <c r="L226" s="19">
        <f>SUM(F226:K226)</f>
        <v>22058.07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3887.5+27064.5</f>
        <v>30952</v>
      </c>
      <c r="G228" s="18">
        <f>297.41+216.28+421.85+1992.91+25.14</f>
        <v>2953.59</v>
      </c>
      <c r="H228" s="18">
        <f>3799.52+10294+694.5</f>
        <v>14788.02</v>
      </c>
      <c r="I228" s="18">
        <f>308.19+8323.04</f>
        <v>8631.2300000000014</v>
      </c>
      <c r="J228" s="18">
        <f>8994.55+172.84</f>
        <v>9167.39</v>
      </c>
      <c r="K228" s="18">
        <f>5470.68+2305</f>
        <v>7775.68</v>
      </c>
      <c r="L228" s="19">
        <f>SUM(F228:K228)</f>
        <v>74267.91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28720.95+1041.72</f>
        <v>29762.670000000002</v>
      </c>
      <c r="G230" s="18">
        <f>8757.64+2197.16+2155.81+30.15+79.67+78.69+1.02</f>
        <v>13300.14</v>
      </c>
      <c r="H230" s="18">
        <f>315+466.28+10724.14+52.53+1475.01</f>
        <v>13032.960000000001</v>
      </c>
      <c r="I230" s="18">
        <f>122+150.64+101.96+29.95+1189.63</f>
        <v>1594.18</v>
      </c>
      <c r="J230" s="18">
        <f>406.7</f>
        <v>406.7</v>
      </c>
      <c r="K230" s="18">
        <f>284</f>
        <v>284</v>
      </c>
      <c r="L230" s="19">
        <f t="shared" ref="L230:L236" si="4">SUM(F230:K230)</f>
        <v>58380.649999999994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3867.5+22899.98</f>
        <v>26767.48</v>
      </c>
      <c r="G231" s="18">
        <f>295.89+280.76+1828.37+1715.22+31.15+1000</f>
        <v>5151.3899999999994</v>
      </c>
      <c r="H231" s="18">
        <f>1372+147+18</f>
        <v>1537</v>
      </c>
      <c r="I231" s="18">
        <f>945</f>
        <v>945</v>
      </c>
      <c r="J231" s="18">
        <f>99.98</f>
        <v>99.98</v>
      </c>
      <c r="K231" s="18">
        <f>950+213</f>
        <v>1163</v>
      </c>
      <c r="L231" s="19">
        <f t="shared" si="4"/>
        <v>35663.85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1291.15</f>
        <v>1291.1500000000001</v>
      </c>
      <c r="G232" s="18">
        <f>98.8+3.92</f>
        <v>102.72</v>
      </c>
      <c r="H232" s="18">
        <f>2425.67+891.37+739.33+501.6+190.74+54624.76</f>
        <v>59373.47</v>
      </c>
      <c r="I232" s="18">
        <f>143.37</f>
        <v>143.37</v>
      </c>
      <c r="J232" s="18"/>
      <c r="K232" s="18">
        <f>1022.85</f>
        <v>1022.85</v>
      </c>
      <c r="L232" s="19">
        <f t="shared" si="4"/>
        <v>61933.560000000005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33000+19751.76+2125</f>
        <v>54876.759999999995</v>
      </c>
      <c r="G233" s="18">
        <f>9232.8+4114.07+4446.89+67.81</f>
        <v>17861.57</v>
      </c>
      <c r="H233" s="18">
        <f>1068.88+102+1074.69+99.75+433.93+361.68</f>
        <v>3140.93</v>
      </c>
      <c r="I233" s="18">
        <f>700.45+35.97</f>
        <v>736.42000000000007</v>
      </c>
      <c r="J233" s="18"/>
      <c r="K233" s="18">
        <v>1010.28</v>
      </c>
      <c r="L233" s="19">
        <f t="shared" si="4"/>
        <v>77625.959999999977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24159.55+10607.49</f>
        <v>34767.040000000001</v>
      </c>
      <c r="G235" s="18">
        <f>12176.7+2659.67+2213.03+542.67</f>
        <v>17592.07</v>
      </c>
      <c r="H235" s="18">
        <f>18375.74+1819+908.34+857.3+16747.23+3361.77+1649.87</f>
        <v>43719.25</v>
      </c>
      <c r="I235" s="18">
        <f>1612.03+13940.99+10669.06+50.12</f>
        <v>26272.2</v>
      </c>
      <c r="J235" s="18">
        <v>74.459999999999994</v>
      </c>
      <c r="K235" s="18">
        <v>25</v>
      </c>
      <c r="L235" s="19">
        <f t="shared" si="4"/>
        <v>122450.02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f>12187.37+78.08+4438.57+1343.6</f>
        <v>18047.62</v>
      </c>
      <c r="G236" s="18">
        <f>938.32+1.02+358.42+133+339.58+53.09+102.78+21.1</f>
        <v>1947.3099999999997</v>
      </c>
      <c r="H236" s="18">
        <f>5370.88+3354.95+416+56.18</f>
        <v>9198.01</v>
      </c>
      <c r="I236" s="18">
        <f>187.37+74.08+1727.54+1612.95+699.8</f>
        <v>4301.74</v>
      </c>
      <c r="J236" s="18"/>
      <c r="K236" s="18">
        <f>140.75</f>
        <v>140.75</v>
      </c>
      <c r="L236" s="19">
        <f t="shared" si="4"/>
        <v>33635.43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578802.46</v>
      </c>
      <c r="G239" s="41">
        <f t="shared" si="5"/>
        <v>209858.21</v>
      </c>
      <c r="H239" s="41">
        <f t="shared" si="5"/>
        <v>147922.57</v>
      </c>
      <c r="I239" s="41">
        <f t="shared" si="5"/>
        <v>56549.93</v>
      </c>
      <c r="J239" s="41">
        <f t="shared" si="5"/>
        <v>14436.189999999999</v>
      </c>
      <c r="K239" s="41">
        <f t="shared" si="5"/>
        <v>11584.690000000002</v>
      </c>
      <c r="L239" s="41">
        <f t="shared" si="5"/>
        <v>1019154.05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1306001.8399999999</v>
      </c>
      <c r="G249" s="41">
        <f t="shared" si="8"/>
        <v>513508.08999999997</v>
      </c>
      <c r="H249" s="41">
        <f t="shared" si="8"/>
        <v>458312.47</v>
      </c>
      <c r="I249" s="41">
        <f t="shared" si="8"/>
        <v>164300.46000000002</v>
      </c>
      <c r="J249" s="41">
        <f t="shared" si="8"/>
        <v>26498.339999999997</v>
      </c>
      <c r="K249" s="41">
        <f t="shared" si="8"/>
        <v>20919.600000000002</v>
      </c>
      <c r="L249" s="41">
        <f t="shared" si="8"/>
        <v>2489540.8000000003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230000</v>
      </c>
      <c r="L252" s="19">
        <f>SUM(F252:K252)</f>
        <v>230000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60313.33</v>
      </c>
      <c r="L253" s="19">
        <f>SUM(F253:K253)</f>
        <v>60313.33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f>20100+9900</f>
        <v>30000</v>
      </c>
      <c r="L255" s="19">
        <f>SUM(F255:K255)</f>
        <v>30000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20000</v>
      </c>
      <c r="L258" s="19">
        <f t="shared" si="9"/>
        <v>20000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340313.33</v>
      </c>
      <c r="L262" s="41">
        <f t="shared" si="9"/>
        <v>340313.33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1306001.8399999999</v>
      </c>
      <c r="G263" s="42">
        <f t="shared" si="11"/>
        <v>513508.08999999997</v>
      </c>
      <c r="H263" s="42">
        <f t="shared" si="11"/>
        <v>458312.47</v>
      </c>
      <c r="I263" s="42">
        <f t="shared" si="11"/>
        <v>164300.46000000002</v>
      </c>
      <c r="J263" s="42">
        <f t="shared" si="11"/>
        <v>26498.339999999997</v>
      </c>
      <c r="K263" s="42">
        <f t="shared" si="11"/>
        <v>361232.93</v>
      </c>
      <c r="L263" s="42">
        <f t="shared" si="11"/>
        <v>2829854.1300000004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>
        <v>0.19</v>
      </c>
      <c r="J268" s="18">
        <f>2311.99</f>
        <v>2311.9899999999998</v>
      </c>
      <c r="K268" s="18"/>
      <c r="L268" s="19">
        <f>SUM(F268:K268)</f>
        <v>2312.1799999999998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37849.94</f>
        <v>37849.94</v>
      </c>
      <c r="G269" s="18">
        <f>5716+2895.35+2835.03+113.55</f>
        <v>11559.93</v>
      </c>
      <c r="H269" s="18">
        <f>354.5</f>
        <v>354.5</v>
      </c>
      <c r="I269" s="18">
        <f>806.55+56.75</f>
        <v>863.3</v>
      </c>
      <c r="J269" s="18">
        <f>293.48</f>
        <v>293.48</v>
      </c>
      <c r="K269" s="18">
        <f>400</f>
        <v>400</v>
      </c>
      <c r="L269" s="19">
        <f>SUM(F269:K269)</f>
        <v>51321.150000000009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f>331.97</f>
        <v>331.97</v>
      </c>
      <c r="I273" s="18"/>
      <c r="J273" s="18"/>
      <c r="K273" s="18"/>
      <c r="L273" s="19">
        <f t="shared" ref="L273:L279" si="12">SUM(F273:K273)</f>
        <v>331.97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7616+168</f>
        <v>7784</v>
      </c>
      <c r="G274" s="18">
        <f>582.63+582.48+12.86</f>
        <v>1177.97</v>
      </c>
      <c r="H274" s="18">
        <f>2700+4228+736.95</f>
        <v>7664.95</v>
      </c>
      <c r="I274" s="18"/>
      <c r="J274" s="18"/>
      <c r="K274" s="18">
        <f>219.58+2005.42</f>
        <v>2225</v>
      </c>
      <c r="L274" s="19">
        <f t="shared" si="12"/>
        <v>18851.919999999998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f>28.82</f>
        <v>28.82</v>
      </c>
      <c r="G279" s="18">
        <f>2.2</f>
        <v>2.2000000000000002</v>
      </c>
      <c r="H279" s="18"/>
      <c r="I279" s="18"/>
      <c r="J279" s="18"/>
      <c r="K279" s="18"/>
      <c r="L279" s="19">
        <f t="shared" si="12"/>
        <v>31.02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45662.76</v>
      </c>
      <c r="G282" s="42">
        <f t="shared" si="13"/>
        <v>12740.1</v>
      </c>
      <c r="H282" s="42">
        <f t="shared" si="13"/>
        <v>8351.42</v>
      </c>
      <c r="I282" s="42">
        <f t="shared" si="13"/>
        <v>863.49</v>
      </c>
      <c r="J282" s="42">
        <f t="shared" si="13"/>
        <v>2605.4699999999998</v>
      </c>
      <c r="K282" s="42">
        <f t="shared" si="13"/>
        <v>2625</v>
      </c>
      <c r="L282" s="41">
        <f t="shared" si="13"/>
        <v>72848.240000000005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>
        <f>200</f>
        <v>200</v>
      </c>
      <c r="J306" s="18">
        <v>1842.95</v>
      </c>
      <c r="K306" s="18">
        <v>0</v>
      </c>
      <c r="L306" s="19">
        <f>SUM(F306:K306)</f>
        <v>2042.95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200</v>
      </c>
      <c r="J320" s="42">
        <f t="shared" si="17"/>
        <v>1842.95</v>
      </c>
      <c r="K320" s="42">
        <f t="shared" si="17"/>
        <v>0</v>
      </c>
      <c r="L320" s="41">
        <f t="shared" si="17"/>
        <v>2042.95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45662.76</v>
      </c>
      <c r="G330" s="41">
        <f t="shared" si="20"/>
        <v>12740.1</v>
      </c>
      <c r="H330" s="41">
        <f t="shared" si="20"/>
        <v>8351.42</v>
      </c>
      <c r="I330" s="41">
        <f t="shared" si="20"/>
        <v>1063.49</v>
      </c>
      <c r="J330" s="41">
        <f t="shared" si="20"/>
        <v>4448.42</v>
      </c>
      <c r="K330" s="41">
        <f t="shared" si="20"/>
        <v>2625</v>
      </c>
      <c r="L330" s="41">
        <f t="shared" si="20"/>
        <v>74891.19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45662.76</v>
      </c>
      <c r="G344" s="41">
        <f>G330</f>
        <v>12740.1</v>
      </c>
      <c r="H344" s="41">
        <f>H330</f>
        <v>8351.42</v>
      </c>
      <c r="I344" s="41">
        <f>I330</f>
        <v>1063.49</v>
      </c>
      <c r="J344" s="41">
        <f>J330</f>
        <v>4448.42</v>
      </c>
      <c r="K344" s="47">
        <f>K330+K343</f>
        <v>2625</v>
      </c>
      <c r="L344" s="41">
        <f>L330+L343</f>
        <v>74891.19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16944.76+1987.14</f>
        <v>18931.899999999998</v>
      </c>
      <c r="G350" s="18">
        <f>1448.34+519.3+168.84</f>
        <v>2136.48</v>
      </c>
      <c r="H350" s="18">
        <f>2616.04+66.78</f>
        <v>2682.82</v>
      </c>
      <c r="I350" s="18">
        <f>2338.29+21164.47+521.09</f>
        <v>24023.850000000002</v>
      </c>
      <c r="J350" s="18">
        <f>3638</f>
        <v>3638</v>
      </c>
      <c r="K350" s="18">
        <f>470.05</f>
        <v>470.05</v>
      </c>
      <c r="L350" s="13">
        <f>SUM(F350:K350)</f>
        <v>51883.100000000006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f>16922.93</f>
        <v>16922.93</v>
      </c>
      <c r="G352" s="18">
        <f>1294.54+267.56+83.16+1147.08+22.26</f>
        <v>2814.6000000000004</v>
      </c>
      <c r="H352" s="18"/>
      <c r="I352" s="18">
        <f>1094.51+10734.65+253.1</f>
        <v>12082.26</v>
      </c>
      <c r="J352" s="18"/>
      <c r="K352" s="18">
        <f>203.2</f>
        <v>203.2</v>
      </c>
      <c r="L352" s="19">
        <f>SUM(F352:K352)</f>
        <v>32022.99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35854.83</v>
      </c>
      <c r="G354" s="47">
        <f t="shared" si="22"/>
        <v>4951.08</v>
      </c>
      <c r="H354" s="47">
        <f t="shared" si="22"/>
        <v>2682.82</v>
      </c>
      <c r="I354" s="47">
        <f t="shared" si="22"/>
        <v>36106.11</v>
      </c>
      <c r="J354" s="47">
        <f t="shared" si="22"/>
        <v>3638</v>
      </c>
      <c r="K354" s="47">
        <f t="shared" si="22"/>
        <v>673.25</v>
      </c>
      <c r="L354" s="47">
        <f t="shared" si="22"/>
        <v>83906.090000000011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21164.47</v>
      </c>
      <c r="G359" s="18"/>
      <c r="H359" s="18">
        <v>10734.65</v>
      </c>
      <c r="I359" s="56">
        <f>SUM(F359:H359)</f>
        <v>31899.120000000003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2338.29+521.09</f>
        <v>2859.38</v>
      </c>
      <c r="G360" s="63"/>
      <c r="H360" s="63">
        <f>1094.51+253.1</f>
        <v>1347.61</v>
      </c>
      <c r="I360" s="56">
        <f>SUM(F360:H360)</f>
        <v>4206.99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24023.850000000002</v>
      </c>
      <c r="G361" s="47">
        <f>SUM(G359:G360)</f>
        <v>0</v>
      </c>
      <c r="H361" s="47">
        <f>SUM(H359:H360)</f>
        <v>12082.26</v>
      </c>
      <c r="I361" s="47">
        <f>SUM(I359:I360)</f>
        <v>36106.11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10000</v>
      </c>
      <c r="H388" s="18">
        <f>9.17+37.45+177.68</f>
        <v>224.3</v>
      </c>
      <c r="I388" s="18"/>
      <c r="J388" s="24" t="s">
        <v>312</v>
      </c>
      <c r="K388" s="24" t="s">
        <v>312</v>
      </c>
      <c r="L388" s="56">
        <f t="shared" si="26"/>
        <v>10224.299999999999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>
        <v>5000</v>
      </c>
      <c r="H390" s="18">
        <v>176.03</v>
      </c>
      <c r="I390" s="18"/>
      <c r="J390" s="24" t="s">
        <v>312</v>
      </c>
      <c r="K390" s="24" t="s">
        <v>312</v>
      </c>
      <c r="L390" s="56">
        <f t="shared" si="26"/>
        <v>5176.03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>
        <v>12.22</v>
      </c>
      <c r="I391" s="18"/>
      <c r="J391" s="24" t="s">
        <v>312</v>
      </c>
      <c r="K391" s="24" t="s">
        <v>312</v>
      </c>
      <c r="L391" s="56">
        <f t="shared" si="26"/>
        <v>12.22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>
        <f>5000</f>
        <v>5000</v>
      </c>
      <c r="H392" s="18">
        <f>171.37+694.83+18.88+25.54</f>
        <v>910.62</v>
      </c>
      <c r="I392" s="18">
        <v>256.67</v>
      </c>
      <c r="J392" s="24" t="s">
        <v>312</v>
      </c>
      <c r="K392" s="24" t="s">
        <v>312</v>
      </c>
      <c r="L392" s="56">
        <f t="shared" si="26"/>
        <v>6167.29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20000</v>
      </c>
      <c r="H393" s="47">
        <f>SUM(H387:H392)</f>
        <v>1323.17</v>
      </c>
      <c r="I393" s="47">
        <f>SUM(I387:I392)</f>
        <v>256.67</v>
      </c>
      <c r="J393" s="45" t="s">
        <v>312</v>
      </c>
      <c r="K393" s="45" t="s">
        <v>312</v>
      </c>
      <c r="L393" s="47">
        <f>SUM(L387:L392)</f>
        <v>21579.839999999997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20000</v>
      </c>
      <c r="H400" s="47">
        <f>H385+H393+H399</f>
        <v>1323.17</v>
      </c>
      <c r="I400" s="47">
        <f>I385+I393+I399</f>
        <v>256.67</v>
      </c>
      <c r="J400" s="24" t="s">
        <v>312</v>
      </c>
      <c r="K400" s="24" t="s">
        <v>312</v>
      </c>
      <c r="L400" s="47">
        <f>L385+L393+L399</f>
        <v>21579.839999999997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>
        <v>8994.5499999999993</v>
      </c>
      <c r="L410" s="56">
        <f t="shared" si="27"/>
        <v>8994.5499999999993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8994.5499999999993</v>
      </c>
      <c r="L411" s="47">
        <f t="shared" si="28"/>
        <v>8994.5499999999993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8994.5499999999993</v>
      </c>
      <c r="L426" s="47">
        <f t="shared" si="32"/>
        <v>8994.5499999999993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536310.27</v>
      </c>
      <c r="H431" s="18"/>
      <c r="I431" s="56">
        <f t="shared" ref="I431:I437" si="33">SUM(F431:H431)</f>
        <v>536310.27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536310.27</v>
      </c>
      <c r="H438" s="13">
        <f>SUM(H431:H437)</f>
        <v>0</v>
      </c>
      <c r="I438" s="13">
        <f>SUM(I431:I437)</f>
        <v>536310.27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536310.27</v>
      </c>
      <c r="H449" s="18"/>
      <c r="I449" s="56">
        <f>SUM(F449:H449)</f>
        <v>536310.27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536310.27</v>
      </c>
      <c r="H450" s="83">
        <f>SUM(H446:H449)</f>
        <v>0</v>
      </c>
      <c r="I450" s="83">
        <f>SUM(I446:I449)</f>
        <v>536310.27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536310.27</v>
      </c>
      <c r="H451" s="42">
        <f>H444+H450</f>
        <v>0</v>
      </c>
      <c r="I451" s="42">
        <f>I444+I450</f>
        <v>536310.27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337087.27</v>
      </c>
      <c r="G455" s="18">
        <v>5745.21</v>
      </c>
      <c r="H455" s="18">
        <v>0</v>
      </c>
      <c r="I455" s="18">
        <v>0</v>
      </c>
      <c r="J455" s="18">
        <v>523724.98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2866447.32</v>
      </c>
      <c r="G458" s="18">
        <v>94484.15</v>
      </c>
      <c r="H458" s="18">
        <v>74891.19</v>
      </c>
      <c r="I458" s="18"/>
      <c r="J458" s="18">
        <f>20256.67+1323.17</f>
        <v>21579.839999999997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2866447.32</v>
      </c>
      <c r="G460" s="53">
        <f>SUM(G458:G459)</f>
        <v>94484.15</v>
      </c>
      <c r="H460" s="53">
        <f>SUM(H458:H459)</f>
        <v>74891.19</v>
      </c>
      <c r="I460" s="53">
        <f>SUM(I458:I459)</f>
        <v>0</v>
      </c>
      <c r="J460" s="53">
        <f>SUM(J458:J459)</f>
        <v>21579.839999999997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2829854.13</v>
      </c>
      <c r="G462" s="18">
        <v>83906.09</v>
      </c>
      <c r="H462" s="18">
        <v>74891.19</v>
      </c>
      <c r="I462" s="18"/>
      <c r="J462" s="18">
        <v>8994.5499999999993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>
        <v>466.34</v>
      </c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2829854.13</v>
      </c>
      <c r="G464" s="53">
        <f>SUM(G462:G463)</f>
        <v>84372.43</v>
      </c>
      <c r="H464" s="53">
        <f>SUM(H462:H463)</f>
        <v>74891.19</v>
      </c>
      <c r="I464" s="53">
        <f>SUM(I462:I463)</f>
        <v>0</v>
      </c>
      <c r="J464" s="53">
        <f>SUM(J462:J463)</f>
        <v>8994.5499999999993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373680.45999999996</v>
      </c>
      <c r="G466" s="53">
        <f>(G455+G460)- G464</f>
        <v>15856.930000000008</v>
      </c>
      <c r="H466" s="53">
        <f>(H455+H460)- H464</f>
        <v>0</v>
      </c>
      <c r="I466" s="53">
        <f>(I455+I460)- I464</f>
        <v>0</v>
      </c>
      <c r="J466" s="53">
        <f>(J455+J460)- J464</f>
        <v>536310.2699999999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15</v>
      </c>
      <c r="G480" s="154">
        <v>5</v>
      </c>
      <c r="H480" s="154">
        <v>5</v>
      </c>
      <c r="I480" s="154">
        <v>5</v>
      </c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896</v>
      </c>
      <c r="H481" s="155" t="s">
        <v>898</v>
      </c>
      <c r="I481" s="155" t="s">
        <v>900</v>
      </c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 t="s">
        <v>897</v>
      </c>
      <c r="H482" s="155" t="s">
        <v>899</v>
      </c>
      <c r="I482" s="155" t="s">
        <v>901</v>
      </c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3010000</v>
      </c>
      <c r="G483" s="18">
        <v>148000</v>
      </c>
      <c r="H483" s="18">
        <v>60676</v>
      </c>
      <c r="I483" s="18">
        <v>44245</v>
      </c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5.25</v>
      </c>
      <c r="G484" s="18">
        <v>4.25</v>
      </c>
      <c r="H484" s="18">
        <v>5.3</v>
      </c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1190000</v>
      </c>
      <c r="G485" s="18">
        <v>88000</v>
      </c>
      <c r="H485" s="18">
        <v>24847.25</v>
      </c>
      <c r="I485" s="18">
        <v>30018.85</v>
      </c>
      <c r="J485" s="18"/>
      <c r="K485" s="53">
        <f>SUM(F485:J485)</f>
        <v>1332866.1000000001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200000</v>
      </c>
      <c r="G487" s="18">
        <v>30000</v>
      </c>
      <c r="H487" s="18">
        <v>12102.9</v>
      </c>
      <c r="I487" s="18">
        <v>10315.1</v>
      </c>
      <c r="J487" s="18"/>
      <c r="K487" s="53">
        <f t="shared" si="34"/>
        <v>252418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990000</v>
      </c>
      <c r="G488" s="205">
        <f>G485-G487</f>
        <v>58000</v>
      </c>
      <c r="H488" s="205">
        <f>H485-H487</f>
        <v>12744.35</v>
      </c>
      <c r="I488" s="205">
        <f>I485-I487</f>
        <v>19703.75</v>
      </c>
      <c r="J488" s="205"/>
      <c r="K488" s="206">
        <f t="shared" si="34"/>
        <v>1080448.1000000001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129150</v>
      </c>
      <c r="G489" s="18">
        <f>1232.5+616.25+616.25</f>
        <v>2465</v>
      </c>
      <c r="H489" s="18">
        <f>675.45</f>
        <v>675.45</v>
      </c>
      <c r="I489" s="18"/>
      <c r="J489" s="18"/>
      <c r="K489" s="53">
        <f t="shared" si="34"/>
        <v>132290.45000000001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1119150</v>
      </c>
      <c r="G490" s="42">
        <f>SUM(G488:G489)</f>
        <v>60465</v>
      </c>
      <c r="H490" s="42">
        <f>SUM(H488:H489)</f>
        <v>13419.800000000001</v>
      </c>
      <c r="I490" s="42">
        <f>SUM(I488:I489)</f>
        <v>19703.75</v>
      </c>
      <c r="J490" s="42">
        <f>SUM(J488:J489)</f>
        <v>0</v>
      </c>
      <c r="K490" s="42">
        <f t="shared" si="34"/>
        <v>1212738.55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37619.98+29529.21+2030</f>
        <v>69179.19</v>
      </c>
      <c r="G511" s="18">
        <f>12772.42+5091.35+2972.24+54.78</f>
        <v>20890.79</v>
      </c>
      <c r="H511" s="18">
        <f>2772+1050</f>
        <v>3822</v>
      </c>
      <c r="I511" s="18">
        <f>60</f>
        <v>60</v>
      </c>
      <c r="J511" s="18"/>
      <c r="K511" s="18"/>
      <c r="L511" s="88">
        <f>SUM(F511:K511)</f>
        <v>93951.98000000001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4180.02+13293.07</f>
        <v>17473.09</v>
      </c>
      <c r="G513" s="18">
        <f>2920.7+1323.02+313.04+28.22</f>
        <v>4584.9799999999996</v>
      </c>
      <c r="H513" s="18"/>
      <c r="I513" s="18"/>
      <c r="J513" s="18"/>
      <c r="K513" s="18"/>
      <c r="L513" s="88">
        <f>SUM(F513:K513)</f>
        <v>22058.07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86652.28</v>
      </c>
      <c r="G514" s="108">
        <f t="shared" ref="G514:L514" si="35">SUM(G511:G513)</f>
        <v>25475.77</v>
      </c>
      <c r="H514" s="108">
        <f t="shared" si="35"/>
        <v>3822</v>
      </c>
      <c r="I514" s="108">
        <f t="shared" si="35"/>
        <v>60</v>
      </c>
      <c r="J514" s="108">
        <f t="shared" si="35"/>
        <v>0</v>
      </c>
      <c r="K514" s="108">
        <f t="shared" si="35"/>
        <v>0</v>
      </c>
      <c r="L514" s="89">
        <f t="shared" si="35"/>
        <v>116010.05000000002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5120.73</f>
        <v>5120.7299999999996</v>
      </c>
      <c r="G516" s="18">
        <f>391.74+24.6</f>
        <v>416.34000000000003</v>
      </c>
      <c r="H516" s="18">
        <f>3450+3429.14+1590.25+3772.65+32877.63</f>
        <v>45119.67</v>
      </c>
      <c r="I516" s="18">
        <f>486.17+373.79+311.34+241.55</f>
        <v>1412.85</v>
      </c>
      <c r="J516" s="18"/>
      <c r="K516" s="18"/>
      <c r="L516" s="88">
        <f>SUM(F516:K516)</f>
        <v>52069.59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5120.7299999999996</v>
      </c>
      <c r="G519" s="89">
        <f t="shared" ref="G519:L519" si="36">SUM(G516:G518)</f>
        <v>416.34000000000003</v>
      </c>
      <c r="H519" s="89">
        <f t="shared" si="36"/>
        <v>45119.67</v>
      </c>
      <c r="I519" s="89">
        <f t="shared" si="36"/>
        <v>1412.85</v>
      </c>
      <c r="J519" s="89">
        <f t="shared" si="36"/>
        <v>0</v>
      </c>
      <c r="K519" s="89">
        <f t="shared" si="36"/>
        <v>0</v>
      </c>
      <c r="L519" s="89">
        <f t="shared" si="36"/>
        <v>52069.59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30115.73</v>
      </c>
      <c r="I521" s="18"/>
      <c r="J521" s="18"/>
      <c r="K521" s="18"/>
      <c r="L521" s="88">
        <f>SUM(F521:K521)</f>
        <v>30115.73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12906.75</v>
      </c>
      <c r="I523" s="18"/>
      <c r="J523" s="18"/>
      <c r="K523" s="18"/>
      <c r="L523" s="88">
        <f>SUM(F523:K523)</f>
        <v>12906.75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43022.479999999996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43022.479999999996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890.56</v>
      </c>
      <c r="I531" s="18"/>
      <c r="J531" s="18"/>
      <c r="K531" s="18"/>
      <c r="L531" s="88">
        <f>SUM(F531:K531)</f>
        <v>890.56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890.56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890.56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91773.01</v>
      </c>
      <c r="G535" s="89">
        <f t="shared" ref="G535:L535" si="40">G514+G519+G524+G529+G534</f>
        <v>25892.11</v>
      </c>
      <c r="H535" s="89">
        <f t="shared" si="40"/>
        <v>92854.709999999992</v>
      </c>
      <c r="I535" s="89">
        <f t="shared" si="40"/>
        <v>1472.85</v>
      </c>
      <c r="J535" s="89">
        <f t="shared" si="40"/>
        <v>0</v>
      </c>
      <c r="K535" s="89">
        <f t="shared" si="40"/>
        <v>0</v>
      </c>
      <c r="L535" s="89">
        <f t="shared" si="40"/>
        <v>211992.68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93951.98000000001</v>
      </c>
      <c r="G539" s="87">
        <f>L516</f>
        <v>52069.59</v>
      </c>
      <c r="H539" s="87">
        <f>L521</f>
        <v>30115.73</v>
      </c>
      <c r="I539" s="87">
        <f>L526</f>
        <v>0</v>
      </c>
      <c r="J539" s="87">
        <f>L531</f>
        <v>890.56</v>
      </c>
      <c r="K539" s="87">
        <f>SUM(F539:J539)</f>
        <v>177027.86000000002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22058.07</v>
      </c>
      <c r="G541" s="87">
        <f>L518</f>
        <v>0</v>
      </c>
      <c r="H541" s="87">
        <f>L523</f>
        <v>12906.75</v>
      </c>
      <c r="I541" s="87">
        <f>L528</f>
        <v>0</v>
      </c>
      <c r="J541" s="87">
        <f>L533</f>
        <v>0</v>
      </c>
      <c r="K541" s="87">
        <f>SUM(F541:J541)</f>
        <v>34964.82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116010.05000000002</v>
      </c>
      <c r="G542" s="89">
        <f t="shared" si="41"/>
        <v>52069.59</v>
      </c>
      <c r="H542" s="89">
        <f t="shared" si="41"/>
        <v>43022.479999999996</v>
      </c>
      <c r="I542" s="89">
        <f t="shared" si="41"/>
        <v>0</v>
      </c>
      <c r="J542" s="89">
        <f t="shared" si="41"/>
        <v>890.56</v>
      </c>
      <c r="K542" s="89">
        <f t="shared" si="41"/>
        <v>211992.68000000002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1050</v>
      </c>
      <c r="G572" s="18"/>
      <c r="H572" s="18"/>
      <c r="I572" s="87">
        <f t="shared" si="46"/>
        <v>1050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58859.03</v>
      </c>
      <c r="I581" s="18"/>
      <c r="J581" s="18">
        <v>25023.96</v>
      </c>
      <c r="K581" s="104">
        <f t="shared" ref="K581:K587" si="47">SUM(H581:J581)</f>
        <v>83882.989999999991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890.56</v>
      </c>
      <c r="I582" s="18"/>
      <c r="J582" s="18"/>
      <c r="K582" s="104">
        <f t="shared" si="47"/>
        <v>890.56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748.93</v>
      </c>
      <c r="I584" s="18"/>
      <c r="J584" s="18">
        <v>6444.19</v>
      </c>
      <c r="K584" s="104">
        <f t="shared" si="47"/>
        <v>7193.12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2898.99</v>
      </c>
      <c r="I585" s="18"/>
      <c r="J585" s="18">
        <v>2167.2800000000002</v>
      </c>
      <c r="K585" s="104">
        <f t="shared" si="47"/>
        <v>5066.2700000000004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63397.509999999995</v>
      </c>
      <c r="I588" s="108">
        <f>SUM(I581:I587)</f>
        <v>0</v>
      </c>
      <c r="J588" s="108">
        <f>SUM(J581:J587)</f>
        <v>33635.43</v>
      </c>
      <c r="K588" s="108">
        <f>SUM(K581:K587)</f>
        <v>97032.939999999988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18305.62-3638</f>
        <v>14667.619999999999</v>
      </c>
      <c r="I594" s="18"/>
      <c r="J594" s="18">
        <v>16279.14</v>
      </c>
      <c r="K594" s="104">
        <f>SUM(H594:J594)</f>
        <v>30946.76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14667.619999999999</v>
      </c>
      <c r="I595" s="108">
        <f>SUM(I592:I594)</f>
        <v>0</v>
      </c>
      <c r="J595" s="108">
        <f>SUM(J592:J594)</f>
        <v>16279.14</v>
      </c>
      <c r="K595" s="108">
        <f>SUM(K592:K594)</f>
        <v>30946.76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1300</v>
      </c>
      <c r="G601" s="18">
        <f>99.46+97.38</f>
        <v>196.83999999999997</v>
      </c>
      <c r="H601" s="18"/>
      <c r="I601" s="18"/>
      <c r="J601" s="18"/>
      <c r="K601" s="18"/>
      <c r="L601" s="88">
        <f>SUM(F601:K601)</f>
        <v>1496.84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1300</v>
      </c>
      <c r="G604" s="108">
        <f t="shared" si="48"/>
        <v>196.83999999999997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1496.84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431141.36000000004</v>
      </c>
      <c r="H607" s="109">
        <f>SUM(F44)</f>
        <v>431141.36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17205.769999999997</v>
      </c>
      <c r="H608" s="109">
        <f>SUM(G44)</f>
        <v>17205.770000000004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18434.89</v>
      </c>
      <c r="H609" s="109">
        <f>SUM(H44)</f>
        <v>18434.89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536310.27</v>
      </c>
      <c r="H611" s="109">
        <f>SUM(J44)</f>
        <v>536310.27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373680.45999999996</v>
      </c>
      <c r="H612" s="109">
        <f>F466</f>
        <v>373680.45999999996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15856.930000000002</v>
      </c>
      <c r="H613" s="109">
        <f>G466</f>
        <v>15856.930000000008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536310.27</v>
      </c>
      <c r="H616" s="109">
        <f>J466</f>
        <v>536310.2699999999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2866447.32</v>
      </c>
      <c r="H617" s="104">
        <f>SUM(F458)</f>
        <v>2866447.32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94484.15</v>
      </c>
      <c r="H618" s="104">
        <f>SUM(G458)</f>
        <v>94484.15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74891.19</v>
      </c>
      <c r="H619" s="104">
        <f>SUM(H458)</f>
        <v>74891.19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21579.84</v>
      </c>
      <c r="H621" s="104">
        <f>SUM(J458)</f>
        <v>21579.839999999997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2829854.1300000004</v>
      </c>
      <c r="H622" s="104">
        <f>SUM(F462)</f>
        <v>2829854.13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74891.19</v>
      </c>
      <c r="H623" s="104">
        <f>SUM(H462)</f>
        <v>74891.19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36106.11</v>
      </c>
      <c r="H624" s="104">
        <f>I361</f>
        <v>36106.11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83906.090000000011</v>
      </c>
      <c r="H625" s="104">
        <f>SUM(G462)</f>
        <v>83906.09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21579.839999999997</v>
      </c>
      <c r="H627" s="164">
        <f>SUM(J458)</f>
        <v>21579.839999999997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8994.5499999999993</v>
      </c>
      <c r="H628" s="164">
        <f>SUM(J462)</f>
        <v>8994.5499999999993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536310.27</v>
      </c>
      <c r="H630" s="104">
        <f>SUM(G451)</f>
        <v>536310.27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536310.27</v>
      </c>
      <c r="H632" s="104">
        <f>SUM(I451)</f>
        <v>536310.27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1323.17</v>
      </c>
      <c r="H634" s="104">
        <f>H400</f>
        <v>1323.17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20000</v>
      </c>
      <c r="H635" s="104">
        <f>G400</f>
        <v>20000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21579.84</v>
      </c>
      <c r="H636" s="104">
        <f>L400</f>
        <v>21579.839999999997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97032.939999999988</v>
      </c>
      <c r="H637" s="104">
        <f>L200+L218+L236</f>
        <v>97032.94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30946.76</v>
      </c>
      <c r="H638" s="104">
        <f>(J249+J330)-(J247+J328)</f>
        <v>30946.759999999995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63397.509999999995</v>
      </c>
      <c r="H639" s="104">
        <f>H588</f>
        <v>63397.509999999995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33635.43</v>
      </c>
      <c r="H641" s="104">
        <f>J588</f>
        <v>33635.43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30000</v>
      </c>
      <c r="H642" s="104">
        <f>K255+K337</f>
        <v>30000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20000</v>
      </c>
      <c r="H645" s="104">
        <f>K258+K339</f>
        <v>20000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1595118.0900000003</v>
      </c>
      <c r="G650" s="19">
        <f>(L221+L301+L351)</f>
        <v>0</v>
      </c>
      <c r="H650" s="19">
        <f>(L239+L320+L352)</f>
        <v>1053219.99</v>
      </c>
      <c r="I650" s="19">
        <f>SUM(F650:H650)</f>
        <v>2648338.08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19150.616254612749</v>
      </c>
      <c r="G651" s="19">
        <f>(L351/IF(SUM(L350:L352)=0,1,SUM(L350:L352))*(SUM(G89:G102)))</f>
        <v>0</v>
      </c>
      <c r="H651" s="19">
        <f>(L352/IF(SUM(L350:L352)=0,1,SUM(L350:L352))*(SUM(G89:G102)))</f>
        <v>11820.033745387254</v>
      </c>
      <c r="I651" s="19">
        <f>SUM(F651:H651)</f>
        <v>30970.65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63428.529999999992</v>
      </c>
      <c r="G652" s="19">
        <f>(L218+L298)-(J218+J298)</f>
        <v>0</v>
      </c>
      <c r="H652" s="19">
        <f>(L236+L317)-(J236+J317)</f>
        <v>33635.43</v>
      </c>
      <c r="I652" s="19">
        <f>SUM(F652:H652)</f>
        <v>97063.959999999992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17214.46</v>
      </c>
      <c r="G653" s="200">
        <f>SUM(G565:G577)+SUM(I592:I594)+L602</f>
        <v>0</v>
      </c>
      <c r="H653" s="200">
        <f>SUM(H565:H577)+SUM(J592:J594)+L603</f>
        <v>16279.14</v>
      </c>
      <c r="I653" s="19">
        <f>SUM(F653:H653)</f>
        <v>33493.599999999999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1495324.4837453875</v>
      </c>
      <c r="G654" s="19">
        <f>G650-SUM(G651:G653)</f>
        <v>0</v>
      </c>
      <c r="H654" s="19">
        <f>H650-SUM(H651:H653)</f>
        <v>991485.38625461271</v>
      </c>
      <c r="I654" s="19">
        <f>I650-SUM(I651:I653)</f>
        <v>2486809.87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93.24</v>
      </c>
      <c r="G655" s="249"/>
      <c r="H655" s="249">
        <v>44.04</v>
      </c>
      <c r="I655" s="19">
        <f>SUM(F655:H655)</f>
        <v>137.28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16037.37</v>
      </c>
      <c r="G657" s="19" t="e">
        <f>ROUND(G654/G655,2)</f>
        <v>#DIV/0!</v>
      </c>
      <c r="H657" s="19">
        <f>ROUND(H654/H655,2)</f>
        <v>22513.29</v>
      </c>
      <c r="I657" s="19">
        <f>ROUND(I654/I655,2)</f>
        <v>18114.87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16037.37</v>
      </c>
      <c r="G662" s="19" t="e">
        <f>ROUND((G654+G659)/(G655+G660),2)</f>
        <v>#DIV/0!</v>
      </c>
      <c r="H662" s="19">
        <f>ROUND((H654+H659)/(H655+H660),2)</f>
        <v>22513.29</v>
      </c>
      <c r="I662" s="19">
        <f>ROUND((I654+I659)/(I655+I660),2)</f>
        <v>18114.87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96A47-D0A7-43E1-937A-4CE3CC96ADB9}">
  <sheetPr>
    <tabColor indexed="20"/>
  </sheetPr>
  <dimension ref="A1:C52"/>
  <sheetViews>
    <sheetView workbookViewId="0">
      <selection activeCell="C12" sqref="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Pittsburg SD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840684.15999999992</v>
      </c>
      <c r="C9" s="230">
        <f>'DOE25'!G189+'DOE25'!G207+'DOE25'!G225+'DOE25'!G268+'DOE25'!G287+'DOE25'!G306</f>
        <v>379245.98</v>
      </c>
    </row>
    <row r="10" spans="1:3" x14ac:dyDescent="0.2">
      <c r="A10" t="s">
        <v>813</v>
      </c>
      <c r="B10" s="241">
        <f>814650.06+8654.1</f>
        <v>823304.16</v>
      </c>
      <c r="C10" s="241">
        <f>C9-C12</f>
        <v>377864.26999999996</v>
      </c>
    </row>
    <row r="11" spans="1:3" x14ac:dyDescent="0.2">
      <c r="A11" t="s">
        <v>814</v>
      </c>
      <c r="B11" s="241"/>
      <c r="C11" s="241"/>
    </row>
    <row r="12" spans="1:3" x14ac:dyDescent="0.2">
      <c r="A12" t="s">
        <v>815</v>
      </c>
      <c r="B12" s="241">
        <v>17380</v>
      </c>
      <c r="C12" s="241">
        <f>B12*0.0795</f>
        <v>1381.71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840684.16</v>
      </c>
      <c r="C13" s="232">
        <f>SUM(C10:C12)</f>
        <v>379245.98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124502.22</v>
      </c>
      <c r="C18" s="230">
        <f>'DOE25'!G190+'DOE25'!G208+'DOE25'!G226+'DOE25'!G269+'DOE25'!G288+'DOE25'!G307</f>
        <v>37132.229999999996</v>
      </c>
    </row>
    <row r="19" spans="1:3" x14ac:dyDescent="0.2">
      <c r="A19" t="s">
        <v>813</v>
      </c>
      <c r="B19" s="241">
        <f>41800+37849.94</f>
        <v>79649.94</v>
      </c>
      <c r="C19" s="241">
        <f>C18-C20</f>
        <v>33566.473739999994</v>
      </c>
    </row>
    <row r="20" spans="1:3" x14ac:dyDescent="0.2">
      <c r="A20" t="s">
        <v>814</v>
      </c>
      <c r="B20" s="241">
        <f>42822.28+2030</f>
        <v>44852.28</v>
      </c>
      <c r="C20" s="241">
        <f>B20*0.0795</f>
        <v>3565.7562600000001</v>
      </c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124502.22</v>
      </c>
      <c r="C22" s="232">
        <f>SUM(C19:C21)</f>
        <v>37132.229999999996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39170</v>
      </c>
      <c r="C36" s="236">
        <f>'DOE25'!G192+'DOE25'!G210+'DOE25'!G228+'DOE25'!G271+'DOE25'!G290+'DOE25'!G309</f>
        <v>4172.8099999999995</v>
      </c>
    </row>
    <row r="37" spans="1:3" x14ac:dyDescent="0.2">
      <c r="A37" t="s">
        <v>813</v>
      </c>
      <c r="B37" s="241">
        <f>4355+1300</f>
        <v>5655</v>
      </c>
      <c r="C37" s="241">
        <f>C36-C39</f>
        <v>1508.3674999999994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v>33515</v>
      </c>
      <c r="C39" s="241">
        <f>B39*0.0795</f>
        <v>2664.4425000000001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39170</v>
      </c>
      <c r="C40" s="232">
        <f>SUM(C37:C39)</f>
        <v>4172.8099999999995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CE420-6ECA-4C9D-B8B9-17E1094A3218}">
  <sheetPr>
    <tabColor indexed="11"/>
  </sheetPr>
  <dimension ref="A1:I51"/>
  <sheetViews>
    <sheetView workbookViewId="0">
      <pane ySplit="4" topLeftCell="A5" activePane="bottomLeft" state="frozen"/>
      <selection pane="bottomLeft" activeCell="E27" sqref="E2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Pittsburg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1472756.5899999999</v>
      </c>
      <c r="D5" s="20">
        <f>SUM('DOE25'!L189:L192)+SUM('DOE25'!L207:L210)+SUM('DOE25'!L225:L228)-F5-G5</f>
        <v>1448376.2599999998</v>
      </c>
      <c r="E5" s="244"/>
      <c r="F5" s="256">
        <f>SUM('DOE25'!J189:J192)+SUM('DOE25'!J207:J210)+SUM('DOE25'!J225:J228)</f>
        <v>15096.05</v>
      </c>
      <c r="G5" s="53">
        <f>SUM('DOE25'!K189:K192)+SUM('DOE25'!K207:K210)+SUM('DOE25'!K225:K228)</f>
        <v>9284.2800000000007</v>
      </c>
      <c r="H5" s="260"/>
    </row>
    <row r="6" spans="1:9" x14ac:dyDescent="0.2">
      <c r="A6" s="32">
        <v>2100</v>
      </c>
      <c r="B6" t="s">
        <v>835</v>
      </c>
      <c r="C6" s="246">
        <f t="shared" si="0"/>
        <v>160021.29999999999</v>
      </c>
      <c r="D6" s="20">
        <f>'DOE25'!L194+'DOE25'!L212+'DOE25'!L230-F6-G6</f>
        <v>151354.40999999997</v>
      </c>
      <c r="E6" s="244"/>
      <c r="F6" s="256">
        <f>'DOE25'!J194+'DOE25'!J212+'DOE25'!J230</f>
        <v>7530.8899999999994</v>
      </c>
      <c r="G6" s="53">
        <f>'DOE25'!K194+'DOE25'!K212+'DOE25'!K230</f>
        <v>1136</v>
      </c>
      <c r="H6" s="260"/>
    </row>
    <row r="7" spans="1:9" x14ac:dyDescent="0.2">
      <c r="A7" s="32">
        <v>2200</v>
      </c>
      <c r="B7" t="s">
        <v>868</v>
      </c>
      <c r="C7" s="246">
        <f t="shared" si="0"/>
        <v>68669.260000000009</v>
      </c>
      <c r="D7" s="20">
        <f>'DOE25'!L195+'DOE25'!L213+'DOE25'!L231-F7-G7</f>
        <v>64417.320000000007</v>
      </c>
      <c r="E7" s="244"/>
      <c r="F7" s="256">
        <f>'DOE25'!J195+'DOE25'!J213+'DOE25'!J231</f>
        <v>299.94</v>
      </c>
      <c r="G7" s="53">
        <f>'DOE25'!K195+'DOE25'!K213+'DOE25'!K231</f>
        <v>3952</v>
      </c>
      <c r="H7" s="260"/>
    </row>
    <row r="8" spans="1:9" x14ac:dyDescent="0.2">
      <c r="A8" s="32">
        <v>2300</v>
      </c>
      <c r="B8" t="s">
        <v>836</v>
      </c>
      <c r="C8" s="246">
        <f t="shared" si="0"/>
        <v>121255.18999999997</v>
      </c>
      <c r="D8" s="244"/>
      <c r="E8" s="20">
        <f>'DOE25'!L196+'DOE25'!L214+'DOE25'!L232-F8-G8-D9-D11</f>
        <v>117213.84999999998</v>
      </c>
      <c r="F8" s="256">
        <f>'DOE25'!J196+'DOE25'!J214+'DOE25'!J232</f>
        <v>0</v>
      </c>
      <c r="G8" s="53">
        <f>'DOE25'!K196+'DOE25'!K214+'DOE25'!K232</f>
        <v>4041.3399999999997</v>
      </c>
      <c r="H8" s="260"/>
    </row>
    <row r="9" spans="1:9" x14ac:dyDescent="0.2">
      <c r="A9" s="32">
        <v>2310</v>
      </c>
      <c r="B9" t="s">
        <v>852</v>
      </c>
      <c r="C9" s="246">
        <f t="shared" si="0"/>
        <v>23167.25</v>
      </c>
      <c r="D9" s="245">
        <v>23167.25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6400.0000000000009</v>
      </c>
      <c r="D10" s="244"/>
      <c r="E10" s="245">
        <f>3001.6+1267.2+1478.4+652.8</f>
        <v>6400.0000000000009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56129.91</v>
      </c>
      <c r="D11" s="245">
        <v>56129.91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161676.68999999997</v>
      </c>
      <c r="D12" s="20">
        <f>'DOE25'!L197+'DOE25'!L215+'DOE25'!L233-F12-G12</f>
        <v>159730.70999999996</v>
      </c>
      <c r="E12" s="244"/>
      <c r="F12" s="256">
        <f>'DOE25'!J197+'DOE25'!J215+'DOE25'!J233</f>
        <v>0</v>
      </c>
      <c r="G12" s="53">
        <f>'DOE25'!K197+'DOE25'!K215+'DOE25'!K233</f>
        <v>1945.98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328831.67000000004</v>
      </c>
      <c r="D14" s="20">
        <f>'DOE25'!L199+'DOE25'!L217+'DOE25'!L235-F14-G14</f>
        <v>325210.21000000002</v>
      </c>
      <c r="E14" s="244"/>
      <c r="F14" s="256">
        <f>'DOE25'!J199+'DOE25'!J217+'DOE25'!J235</f>
        <v>3571.46</v>
      </c>
      <c r="G14" s="53">
        <f>'DOE25'!K199+'DOE25'!K217+'DOE25'!K235</f>
        <v>50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97032.94</v>
      </c>
      <c r="D15" s="20">
        <f>'DOE25'!L200+'DOE25'!L218+'DOE25'!L236-F15-G15</f>
        <v>96522.94</v>
      </c>
      <c r="E15" s="244"/>
      <c r="F15" s="256">
        <f>'DOE25'!J200+'DOE25'!J218+'DOE25'!J236</f>
        <v>0</v>
      </c>
      <c r="G15" s="53">
        <f>'DOE25'!K200+'DOE25'!K218+'DOE25'!K236</f>
        <v>510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290313.33</v>
      </c>
      <c r="D25" s="244"/>
      <c r="E25" s="244"/>
      <c r="F25" s="259"/>
      <c r="G25" s="257"/>
      <c r="H25" s="258">
        <f>'DOE25'!L252+'DOE25'!L253+'DOE25'!L333+'DOE25'!L334</f>
        <v>290313.33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52006.970000000008</v>
      </c>
      <c r="D29" s="20">
        <f>'DOE25'!L350+'DOE25'!L351+'DOE25'!L352-'DOE25'!I359-F29-G29</f>
        <v>47695.720000000008</v>
      </c>
      <c r="E29" s="244"/>
      <c r="F29" s="256">
        <f>'DOE25'!J350+'DOE25'!J351+'DOE25'!J352</f>
        <v>3638</v>
      </c>
      <c r="G29" s="53">
        <f>'DOE25'!K350+'DOE25'!K351+'DOE25'!K352</f>
        <v>673.25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74891.19</v>
      </c>
      <c r="D31" s="20">
        <f>'DOE25'!L282+'DOE25'!L301+'DOE25'!L320+'DOE25'!L325+'DOE25'!L326+'DOE25'!L327-F31-G31</f>
        <v>67817.77</v>
      </c>
      <c r="E31" s="244"/>
      <c r="F31" s="256">
        <f>'DOE25'!J282+'DOE25'!J301+'DOE25'!J320+'DOE25'!J325+'DOE25'!J326+'DOE25'!J327</f>
        <v>4448.42</v>
      </c>
      <c r="G31" s="53">
        <f>'DOE25'!K282+'DOE25'!K301+'DOE25'!K320+'DOE25'!K325+'DOE25'!K326+'DOE25'!K327</f>
        <v>2625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2440422.5</v>
      </c>
      <c r="E33" s="247">
        <f>SUM(E5:E31)</f>
        <v>123613.84999999998</v>
      </c>
      <c r="F33" s="247">
        <f>SUM(F5:F31)</f>
        <v>34584.759999999995</v>
      </c>
      <c r="G33" s="247">
        <f>SUM(G5:G31)</f>
        <v>24217.85</v>
      </c>
      <c r="H33" s="247">
        <f>SUM(H5:H31)</f>
        <v>290313.33</v>
      </c>
    </row>
    <row r="35" spans="2:8" ht="12" thickBot="1" x14ac:dyDescent="0.25">
      <c r="B35" s="254" t="s">
        <v>881</v>
      </c>
      <c r="D35" s="255">
        <f>E33</f>
        <v>123613.84999999998</v>
      </c>
      <c r="E35" s="250"/>
    </row>
    <row r="36" spans="2:8" ht="12" thickTop="1" x14ac:dyDescent="0.2">
      <c r="B36" t="s">
        <v>849</v>
      </c>
      <c r="D36" s="20">
        <f>D33</f>
        <v>2440422.5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DAF31-DDAF-4261-9653-CCF77A816361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Pittsburg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394776.58</v>
      </c>
      <c r="D9" s="95">
        <f>'DOE25'!G9</f>
        <v>4492.2299999999996</v>
      </c>
      <c r="E9" s="95">
        <f>'DOE25'!H9</f>
        <v>0</v>
      </c>
      <c r="F9" s="95">
        <f>'DOE25'!I9</f>
        <v>0</v>
      </c>
      <c r="G9" s="95">
        <f>'DOE25'!J9</f>
        <v>536310.27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13062.279999999999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26384.44</v>
      </c>
      <c r="D13" s="95">
        <f>'DOE25'!G13</f>
        <v>8692.0499999999993</v>
      </c>
      <c r="E13" s="95">
        <f>'DOE25'!H13</f>
        <v>5372.61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9980.34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4021.49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431141.36000000004</v>
      </c>
      <c r="D19" s="41">
        <f>SUM(D9:D18)</f>
        <v>17205.769999999997</v>
      </c>
      <c r="E19" s="41">
        <f>SUM(E9:E18)</f>
        <v>18434.89</v>
      </c>
      <c r="F19" s="41">
        <f>SUM(F9:F18)</f>
        <v>0</v>
      </c>
      <c r="G19" s="41">
        <f>SUM(G9:G18)</f>
        <v>536310.27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12243.3</v>
      </c>
      <c r="D22" s="95">
        <f>'DOE25'!G23</f>
        <v>818.98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 t="str">
        <f>'DOE25'!G24</f>
        <v xml:space="preserve"> 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28400.85</v>
      </c>
      <c r="D24" s="95">
        <f>'DOE25'!G25</f>
        <v>529.86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16816.75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18434.89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57460.899999999994</v>
      </c>
      <c r="D32" s="41">
        <f>SUM(D22:D31)</f>
        <v>1348.8400000000001</v>
      </c>
      <c r="E32" s="41">
        <f>SUM(E22:E31)</f>
        <v>18434.89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4021.49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12413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11835.440000000002</v>
      </c>
      <c r="E40" s="95">
        <f>'DOE25'!H41</f>
        <v>0</v>
      </c>
      <c r="F40" s="95">
        <f>'DOE25'!I41</f>
        <v>0</v>
      </c>
      <c r="G40" s="95">
        <f>'DOE25'!J41</f>
        <v>536310.27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361267.45999999996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373680.45999999996</v>
      </c>
      <c r="D42" s="41">
        <f>SUM(D34:D41)</f>
        <v>15856.930000000002</v>
      </c>
      <c r="E42" s="41">
        <f>SUM(E34:E41)</f>
        <v>0</v>
      </c>
      <c r="F42" s="41">
        <f>SUM(F34:F41)</f>
        <v>0</v>
      </c>
      <c r="G42" s="41">
        <f>SUM(G34:G41)</f>
        <v>536310.27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431141.36</v>
      </c>
      <c r="D43" s="41">
        <f>D42+D32</f>
        <v>17205.770000000004</v>
      </c>
      <c r="E43" s="41">
        <f>E42+E32</f>
        <v>18434.89</v>
      </c>
      <c r="F43" s="41">
        <f>F42+F32</f>
        <v>0</v>
      </c>
      <c r="G43" s="41">
        <f>G42+G32</f>
        <v>536310.27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1674990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355662.72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246.2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1323.17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30970.65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51954.44</v>
      </c>
      <c r="D53" s="95">
        <f>SUM('DOE25'!G90:G102)</f>
        <v>0</v>
      </c>
      <c r="E53" s="95">
        <f>SUM('DOE25'!H90:H102)</f>
        <v>4355.1299999999992</v>
      </c>
      <c r="F53" s="95">
        <f>SUM('DOE25'!I90:I102)</f>
        <v>0</v>
      </c>
      <c r="G53" s="95">
        <f>SUM('DOE25'!J90:J102)</f>
        <v>256.67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407863.36</v>
      </c>
      <c r="D54" s="130">
        <f>SUM(D49:D53)</f>
        <v>30970.65</v>
      </c>
      <c r="E54" s="130">
        <f>SUM(E49:E53)</f>
        <v>4355.1299999999992</v>
      </c>
      <c r="F54" s="130">
        <f>SUM(F49:F53)</f>
        <v>0</v>
      </c>
      <c r="G54" s="130">
        <f>SUM(G49:G53)</f>
        <v>1579.8400000000001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2082853.3599999999</v>
      </c>
      <c r="D55" s="22">
        <f>D48+D54</f>
        <v>30970.65</v>
      </c>
      <c r="E55" s="22">
        <f>E48+E54</f>
        <v>4355.1299999999992</v>
      </c>
      <c r="F55" s="22">
        <f>F48+F54</f>
        <v>0</v>
      </c>
      <c r="G55" s="22">
        <f>G48+G54</f>
        <v>1579.8400000000001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658206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658206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112166.62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973.41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112166.62</v>
      </c>
      <c r="D70" s="130">
        <f>SUM(D64:D69)</f>
        <v>973.41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770372.62</v>
      </c>
      <c r="D73" s="130">
        <f>SUM(D71:D72)+D70+D62</f>
        <v>973.41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7370.8099999999995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4226.79</v>
      </c>
      <c r="D80" s="95">
        <f>SUM('DOE25'!G145:G153)</f>
        <v>32540.09</v>
      </c>
      <c r="E80" s="95">
        <f>SUM('DOE25'!H145:H153)</f>
        <v>63165.25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4226.79</v>
      </c>
      <c r="D83" s="131">
        <f>SUM(D77:D82)</f>
        <v>32540.09</v>
      </c>
      <c r="E83" s="131">
        <f>SUM(E77:E82)</f>
        <v>70536.06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30000</v>
      </c>
      <c r="E88" s="95">
        <f>'DOE25'!H171</f>
        <v>0</v>
      </c>
      <c r="F88" s="95">
        <f>'DOE25'!I171</f>
        <v>0</v>
      </c>
      <c r="G88" s="95">
        <f>'DOE25'!J171</f>
        <v>20000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8994.5499999999993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8994.5499999999993</v>
      </c>
      <c r="D95" s="86">
        <f>SUM(D85:D94)</f>
        <v>30000</v>
      </c>
      <c r="E95" s="86">
        <f>SUM(E85:E94)</f>
        <v>0</v>
      </c>
      <c r="F95" s="86">
        <f>SUM(F85:F94)</f>
        <v>0</v>
      </c>
      <c r="G95" s="86">
        <f>SUM(G85:G94)</f>
        <v>20000</v>
      </c>
    </row>
    <row r="96" spans="1:7" ht="12.75" thickTop="1" thickBot="1" x14ac:dyDescent="0.25">
      <c r="A96" s="33" t="s">
        <v>797</v>
      </c>
      <c r="C96" s="86">
        <f>C55+C73+C83+C95</f>
        <v>2866447.32</v>
      </c>
      <c r="D96" s="86">
        <f>D55+D73+D83+D95</f>
        <v>94484.15</v>
      </c>
      <c r="E96" s="86">
        <f>E55+E73+E83+E95</f>
        <v>74891.19</v>
      </c>
      <c r="F96" s="86">
        <f>F55+F73+F83+F95</f>
        <v>0</v>
      </c>
      <c r="G96" s="86">
        <f>G55+G73+G95</f>
        <v>21579.84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1271716.8799999999</v>
      </c>
      <c r="D101" s="24" t="s">
        <v>312</v>
      </c>
      <c r="E101" s="95">
        <f>('DOE25'!L268)+('DOE25'!L287)+('DOE25'!L306)</f>
        <v>4355.13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116689.08000000002</v>
      </c>
      <c r="D102" s="24" t="s">
        <v>312</v>
      </c>
      <c r="E102" s="95">
        <f>('DOE25'!L269)+('DOE25'!L288)+('DOE25'!L307)</f>
        <v>51321.150000000009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84350.63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1472756.5899999999</v>
      </c>
      <c r="D107" s="86">
        <f>SUM(D101:D106)</f>
        <v>0</v>
      </c>
      <c r="E107" s="86">
        <f>SUM(E101:E106)</f>
        <v>55676.280000000006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160021.29999999999</v>
      </c>
      <c r="D110" s="24" t="s">
        <v>312</v>
      </c>
      <c r="E110" s="95">
        <f>+('DOE25'!L273)+('DOE25'!L292)+('DOE25'!L311)</f>
        <v>331.97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68669.260000000009</v>
      </c>
      <c r="D111" s="24" t="s">
        <v>312</v>
      </c>
      <c r="E111" s="95">
        <f>+('DOE25'!L274)+('DOE25'!L293)+('DOE25'!L312)</f>
        <v>18851.919999999998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200552.34999999998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161676.68999999997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328831.67000000004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97032.94</v>
      </c>
      <c r="D116" s="24" t="s">
        <v>312</v>
      </c>
      <c r="E116" s="95">
        <f>+('DOE25'!L279)+('DOE25'!L298)+('DOE25'!L317)</f>
        <v>31.02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83906.090000000011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1016784.21</v>
      </c>
      <c r="D120" s="86">
        <f>SUM(D110:D119)</f>
        <v>83906.090000000011</v>
      </c>
      <c r="E120" s="86">
        <f>SUM(E110:E119)</f>
        <v>19214.91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230000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60313.33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8994.5499999999993</v>
      </c>
    </row>
    <row r="127" spans="1:7" x14ac:dyDescent="0.2">
      <c r="A127" t="s">
        <v>256</v>
      </c>
      <c r="B127" s="32" t="s">
        <v>257</v>
      </c>
      <c r="C127" s="95">
        <f>'DOE25'!L255</f>
        <v>30000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21579.839999999997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-1579.8399999999965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340313.33000000007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8994.5499999999993</v>
      </c>
    </row>
    <row r="137" spans="1:9" ht="12.75" thickTop="1" thickBot="1" x14ac:dyDescent="0.25">
      <c r="A137" s="33" t="s">
        <v>267</v>
      </c>
      <c r="C137" s="86">
        <f>(C107+C120+C136)</f>
        <v>2829854.13</v>
      </c>
      <c r="D137" s="86">
        <f>(D107+D120+D136)</f>
        <v>83906.090000000011</v>
      </c>
      <c r="E137" s="86">
        <f>(E107+E120+E136)</f>
        <v>74891.19</v>
      </c>
      <c r="F137" s="86">
        <f>(F107+F120+F136)</f>
        <v>0</v>
      </c>
      <c r="G137" s="86">
        <f>(G107+G120+G136)</f>
        <v>8994.5499999999993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15</v>
      </c>
      <c r="C143" s="153">
        <f>'DOE25'!G480</f>
        <v>5</v>
      </c>
      <c r="D143" s="153">
        <f>'DOE25'!H480</f>
        <v>5</v>
      </c>
      <c r="E143" s="153">
        <f>'DOE25'!I480</f>
        <v>5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July 1999</v>
      </c>
      <c r="C144" s="152" t="str">
        <f>'DOE25'!G481</f>
        <v>July 2006</v>
      </c>
      <c r="D144" s="152" t="str">
        <f>'DOE25'!H481</f>
        <v>August 2006</v>
      </c>
      <c r="E144" s="152" t="str">
        <f>'DOE25'!I481</f>
        <v>October 2007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Aug 2014</v>
      </c>
      <c r="C145" s="152" t="str">
        <f>'DOE25'!G482</f>
        <v>July 2011</v>
      </c>
      <c r="D145" s="152" t="str">
        <f>'DOE25'!H482</f>
        <v>August 2010</v>
      </c>
      <c r="E145" s="152" t="str">
        <f>'DOE25'!I482</f>
        <v>October 2011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3010000</v>
      </c>
      <c r="C146" s="137">
        <f>'DOE25'!G483</f>
        <v>148000</v>
      </c>
      <c r="D146" s="137">
        <f>'DOE25'!H483</f>
        <v>60676</v>
      </c>
      <c r="E146" s="137">
        <f>'DOE25'!I483</f>
        <v>44245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5.25</v>
      </c>
      <c r="C147" s="137">
        <f>'DOE25'!G484</f>
        <v>4.25</v>
      </c>
      <c r="D147" s="137">
        <f>'DOE25'!H484</f>
        <v>5.3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1190000</v>
      </c>
      <c r="C148" s="137">
        <f>'DOE25'!G485</f>
        <v>88000</v>
      </c>
      <c r="D148" s="137">
        <f>'DOE25'!H485</f>
        <v>24847.25</v>
      </c>
      <c r="E148" s="137">
        <f>'DOE25'!I485</f>
        <v>30018.85</v>
      </c>
      <c r="F148" s="137">
        <f>'DOE25'!J485</f>
        <v>0</v>
      </c>
      <c r="G148" s="138">
        <f>SUM(B148:F148)</f>
        <v>1332866.1000000001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200000</v>
      </c>
      <c r="C150" s="137">
        <f>'DOE25'!G487</f>
        <v>30000</v>
      </c>
      <c r="D150" s="137">
        <f>'DOE25'!H487</f>
        <v>12102.9</v>
      </c>
      <c r="E150" s="137">
        <f>'DOE25'!I487</f>
        <v>10315.1</v>
      </c>
      <c r="F150" s="137">
        <f>'DOE25'!J487</f>
        <v>0</v>
      </c>
      <c r="G150" s="138">
        <f t="shared" si="0"/>
        <v>252418</v>
      </c>
    </row>
    <row r="151" spans="1:7" x14ac:dyDescent="0.2">
      <c r="A151" s="22" t="s">
        <v>35</v>
      </c>
      <c r="B151" s="137">
        <f>'DOE25'!F488</f>
        <v>990000</v>
      </c>
      <c r="C151" s="137">
        <f>'DOE25'!G488</f>
        <v>58000</v>
      </c>
      <c r="D151" s="137">
        <f>'DOE25'!H488</f>
        <v>12744.35</v>
      </c>
      <c r="E151" s="137">
        <f>'DOE25'!I488</f>
        <v>19703.75</v>
      </c>
      <c r="F151" s="137">
        <f>'DOE25'!J488</f>
        <v>0</v>
      </c>
      <c r="G151" s="138">
        <f t="shared" si="0"/>
        <v>1080448.1000000001</v>
      </c>
    </row>
    <row r="152" spans="1:7" x14ac:dyDescent="0.2">
      <c r="A152" s="22" t="s">
        <v>36</v>
      </c>
      <c r="B152" s="137">
        <f>'DOE25'!F489</f>
        <v>129150</v>
      </c>
      <c r="C152" s="137">
        <f>'DOE25'!G489</f>
        <v>2465</v>
      </c>
      <c r="D152" s="137">
        <f>'DOE25'!H489</f>
        <v>675.45</v>
      </c>
      <c r="E152" s="137">
        <f>'DOE25'!I489</f>
        <v>0</v>
      </c>
      <c r="F152" s="137">
        <f>'DOE25'!J489</f>
        <v>0</v>
      </c>
      <c r="G152" s="138">
        <f t="shared" si="0"/>
        <v>132290.45000000001</v>
      </c>
    </row>
    <row r="153" spans="1:7" x14ac:dyDescent="0.2">
      <c r="A153" s="22" t="s">
        <v>37</v>
      </c>
      <c r="B153" s="137">
        <f>'DOE25'!F490</f>
        <v>1119150</v>
      </c>
      <c r="C153" s="137">
        <f>'DOE25'!G490</f>
        <v>60465</v>
      </c>
      <c r="D153" s="137">
        <f>'DOE25'!H490</f>
        <v>13419.800000000001</v>
      </c>
      <c r="E153" s="137">
        <f>'DOE25'!I490</f>
        <v>19703.75</v>
      </c>
      <c r="F153" s="137">
        <f>'DOE25'!J490</f>
        <v>0</v>
      </c>
      <c r="G153" s="138">
        <f t="shared" si="0"/>
        <v>1212738.55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DBA7-78F8-4546-BD2D-3D476D21EA5D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Pittsburg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16037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22513</v>
      </c>
    </row>
    <row r="7" spans="1:4" x14ac:dyDescent="0.2">
      <c r="B7" t="s">
        <v>736</v>
      </c>
      <c r="C7" s="179">
        <f>IF('DOE25'!I655+'DOE25'!I660=0,0,ROUND('DOE25'!I662,0))</f>
        <v>18115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1276072</v>
      </c>
      <c r="D10" s="182">
        <f>ROUND((C10/$C$28)*100,1)</f>
        <v>47.7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168010</v>
      </c>
      <c r="D11" s="182">
        <f>ROUND((C11/$C$28)*100,1)</f>
        <v>6.3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84351</v>
      </c>
      <c r="D13" s="182">
        <f>ROUND((C13/$C$28)*100,1)</f>
        <v>3.2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160353</v>
      </c>
      <c r="D15" s="182">
        <f t="shared" ref="D15:D27" si="0">ROUND((C15/$C$28)*100,1)</f>
        <v>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87521</v>
      </c>
      <c r="D16" s="182">
        <f t="shared" si="0"/>
        <v>3.3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200552</v>
      </c>
      <c r="D17" s="182">
        <f t="shared" si="0"/>
        <v>7.5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161677</v>
      </c>
      <c r="D18" s="182">
        <f t="shared" si="0"/>
        <v>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328832</v>
      </c>
      <c r="D20" s="182">
        <f t="shared" si="0"/>
        <v>12.3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97064</v>
      </c>
      <c r="D21" s="182">
        <f t="shared" si="0"/>
        <v>3.6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60313</v>
      </c>
      <c r="D25" s="182">
        <f t="shared" si="0"/>
        <v>2.2999999999999998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52935.35</v>
      </c>
      <c r="D27" s="182">
        <f t="shared" si="0"/>
        <v>2</v>
      </c>
    </row>
    <row r="28" spans="1:4" x14ac:dyDescent="0.2">
      <c r="B28" s="187" t="s">
        <v>754</v>
      </c>
      <c r="C28" s="180">
        <f>SUM(C10:C27)</f>
        <v>2677680.35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2677680.35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230000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1674990</v>
      </c>
      <c r="D35" s="182">
        <f t="shared" ref="D35:D40" si="1">ROUND((C35/$C$41)*100,1)</f>
        <v>56.4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413798.32999999961</v>
      </c>
      <c r="D36" s="182">
        <f t="shared" si="1"/>
        <v>13.9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658206</v>
      </c>
      <c r="D37" s="182">
        <f t="shared" si="1"/>
        <v>22.2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113140</v>
      </c>
      <c r="D38" s="182">
        <f t="shared" si="1"/>
        <v>3.8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107303</v>
      </c>
      <c r="D39" s="182">
        <f t="shared" si="1"/>
        <v>3.6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2967437.3299999996</v>
      </c>
      <c r="D41" s="184">
        <f>SUM(D35:D40)</f>
        <v>99.899999999999991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1E3D-FDBD-4780-9B02-CBFE8D833992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802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2" t="s">
        <v>799</v>
      </c>
      <c r="B2" s="293"/>
      <c r="C2" s="293"/>
      <c r="D2" s="293"/>
      <c r="E2" s="293"/>
      <c r="F2" s="290" t="str">
        <f>'DOE25'!A2</f>
        <v>Pittsburg SD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88" t="s">
        <v>803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5" t="s">
        <v>893</v>
      </c>
      <c r="B72" s="295"/>
      <c r="C72" s="295"/>
      <c r="D72" s="295"/>
      <c r="E72" s="29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70A" sheet="1" objects="1" scenarios="1"/>
  <mergeCells count="223">
    <mergeCell ref="C90:M90"/>
    <mergeCell ref="C81:M81"/>
    <mergeCell ref="C82:M82"/>
    <mergeCell ref="C83:M83"/>
    <mergeCell ref="C84:M84"/>
    <mergeCell ref="C86:M86"/>
    <mergeCell ref="C87:M87"/>
    <mergeCell ref="C88:M88"/>
    <mergeCell ref="C89:M89"/>
    <mergeCell ref="C85:M85"/>
    <mergeCell ref="C65:M65"/>
    <mergeCell ref="C66:M66"/>
    <mergeCell ref="C67:M67"/>
    <mergeCell ref="C68:M68"/>
    <mergeCell ref="C69:M69"/>
    <mergeCell ref="C70:M70"/>
    <mergeCell ref="C62:M62"/>
    <mergeCell ref="C24:M24"/>
    <mergeCell ref="C29:M29"/>
    <mergeCell ref="C25:M25"/>
    <mergeCell ref="C26:M26"/>
    <mergeCell ref="C27:M27"/>
    <mergeCell ref="C74:M74"/>
    <mergeCell ref="C75:M75"/>
    <mergeCell ref="C76:M76"/>
    <mergeCell ref="C77:M77"/>
    <mergeCell ref="A72:E72"/>
    <mergeCell ref="C73:M73"/>
    <mergeCell ref="C78:M78"/>
    <mergeCell ref="C79:M79"/>
    <mergeCell ref="C80:M80"/>
    <mergeCell ref="C34:M34"/>
    <mergeCell ref="C35:M35"/>
    <mergeCell ref="C63:M63"/>
    <mergeCell ref="C64:M64"/>
    <mergeCell ref="C36:M36"/>
    <mergeCell ref="C43:M43"/>
    <mergeCell ref="C52:M52"/>
    <mergeCell ref="C19:M19"/>
    <mergeCell ref="C21:M21"/>
    <mergeCell ref="C20:M20"/>
    <mergeCell ref="C28:M28"/>
    <mergeCell ref="C22:M22"/>
    <mergeCell ref="C23:M23"/>
    <mergeCell ref="C7:M7"/>
    <mergeCell ref="C14:M14"/>
    <mergeCell ref="C15:M15"/>
    <mergeCell ref="C16:M16"/>
    <mergeCell ref="C17:M17"/>
    <mergeCell ref="C12:M12"/>
    <mergeCell ref="C13:M13"/>
    <mergeCell ref="C8:M8"/>
    <mergeCell ref="C9:M9"/>
    <mergeCell ref="A1:I1"/>
    <mergeCell ref="C3:M3"/>
    <mergeCell ref="C4:M4"/>
    <mergeCell ref="F2:I2"/>
    <mergeCell ref="C18:M18"/>
    <mergeCell ref="C10:M10"/>
    <mergeCell ref="C11:M11"/>
    <mergeCell ref="A2:E2"/>
    <mergeCell ref="C5:M5"/>
    <mergeCell ref="C6:M6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0:Z30"/>
    <mergeCell ref="HP29:HZ29"/>
    <mergeCell ref="IC29:IM29"/>
    <mergeCell ref="IP29:IV29"/>
    <mergeCell ref="BC29:BM29"/>
    <mergeCell ref="BP29:BZ29"/>
    <mergeCell ref="CC29:CM29"/>
    <mergeCell ref="CP29:CZ29"/>
    <mergeCell ref="DC29:DM29"/>
    <mergeCell ref="DP29:DZ29"/>
    <mergeCell ref="EC29:EM29"/>
    <mergeCell ref="AP38:AZ38"/>
    <mergeCell ref="FC29:FM29"/>
    <mergeCell ref="FP29:FZ29"/>
    <mergeCell ref="GC29:GM29"/>
    <mergeCell ref="GP29:GZ29"/>
    <mergeCell ref="HC29:HM29"/>
    <mergeCell ref="EP29:EZ29"/>
    <mergeCell ref="IC30:IM30"/>
    <mergeCell ref="AC30:AM30"/>
    <mergeCell ref="AP30:AZ30"/>
    <mergeCell ref="C41:M41"/>
    <mergeCell ref="C33:M33"/>
    <mergeCell ref="C37:M37"/>
    <mergeCell ref="C38:M38"/>
    <mergeCell ref="C39:M39"/>
    <mergeCell ref="C40:M40"/>
    <mergeCell ref="AC38:AM38"/>
    <mergeCell ref="DP30:DZ30"/>
    <mergeCell ref="EC30:EM30"/>
    <mergeCell ref="EP30:EZ30"/>
    <mergeCell ref="IP30:IV30"/>
    <mergeCell ref="FC30:FM30"/>
    <mergeCell ref="FP30:FZ30"/>
    <mergeCell ref="GC30:GM30"/>
    <mergeCell ref="GP30:GZ30"/>
    <mergeCell ref="HC30:HM30"/>
    <mergeCell ref="HP30:HZ30"/>
    <mergeCell ref="BP31:BZ31"/>
    <mergeCell ref="CC31:CM31"/>
    <mergeCell ref="CP31:CZ31"/>
    <mergeCell ref="DC31:DM31"/>
    <mergeCell ref="BC30:BM30"/>
    <mergeCell ref="BP30:BZ30"/>
    <mergeCell ref="CC30:CM30"/>
    <mergeCell ref="CP30:CZ30"/>
    <mergeCell ref="DC30:DM30"/>
    <mergeCell ref="BC31:BM31"/>
    <mergeCell ref="BC32:BM32"/>
    <mergeCell ref="DC32:DM32"/>
    <mergeCell ref="IC31:IM31"/>
    <mergeCell ref="GP31:GZ31"/>
    <mergeCell ref="HC31:HM31"/>
    <mergeCell ref="DP31:DZ31"/>
    <mergeCell ref="HC32:HM32"/>
    <mergeCell ref="FP31:FZ31"/>
    <mergeCell ref="EC31:E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HP31:HZ31"/>
    <mergeCell ref="GC31:GM31"/>
    <mergeCell ref="EP31:EZ31"/>
    <mergeCell ref="FC31:FM31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P39:Z39"/>
    <mergeCell ref="CC32:CM32"/>
    <mergeCell ref="GP32:GZ32"/>
    <mergeCell ref="CP38:CZ38"/>
    <mergeCell ref="DP32:DZ32"/>
    <mergeCell ref="EC32:EM32"/>
    <mergeCell ref="DP38:DZ38"/>
    <mergeCell ref="EC38:EM38"/>
    <mergeCell ref="CC38:CM38"/>
    <mergeCell ref="BC39:BM39"/>
    <mergeCell ref="AP40:AZ40"/>
    <mergeCell ref="BC40:BM40"/>
    <mergeCell ref="C42:M42"/>
    <mergeCell ref="BP39:BZ39"/>
    <mergeCell ref="IC38:IM38"/>
    <mergeCell ref="EP38:EZ38"/>
    <mergeCell ref="FC38:FM38"/>
    <mergeCell ref="FP38:FZ38"/>
    <mergeCell ref="GC38:GM38"/>
    <mergeCell ref="IP38:IV38"/>
    <mergeCell ref="CC39:CM39"/>
    <mergeCell ref="CP39:CZ39"/>
    <mergeCell ref="IP39:IV39"/>
    <mergeCell ref="GP38:GZ38"/>
    <mergeCell ref="HC38:HM38"/>
    <mergeCell ref="HP38:HZ38"/>
    <mergeCell ref="DC38:DM38"/>
    <mergeCell ref="FP40:FZ40"/>
    <mergeCell ref="HC39:HM39"/>
    <mergeCell ref="DC39:DM39"/>
    <mergeCell ref="DP39:DZ39"/>
    <mergeCell ref="EC39:EM39"/>
    <mergeCell ref="EP39:EZ39"/>
    <mergeCell ref="FC39:FM39"/>
    <mergeCell ref="FP39:FZ39"/>
    <mergeCell ref="GC39:GM39"/>
    <mergeCell ref="GP39:GZ39"/>
    <mergeCell ref="C49:M49"/>
    <mergeCell ref="HP39:HZ39"/>
    <mergeCell ref="IC39:IM39"/>
    <mergeCell ref="BP40:BZ40"/>
    <mergeCell ref="AC39:AM39"/>
    <mergeCell ref="AP39:AZ39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P40:Z40"/>
    <mergeCell ref="C51:M51"/>
    <mergeCell ref="IC40:IM40"/>
    <mergeCell ref="CC40:CM40"/>
    <mergeCell ref="CP40:CZ40"/>
    <mergeCell ref="DC40:DM40"/>
    <mergeCell ref="DP40:DZ40"/>
    <mergeCell ref="FC40:FM40"/>
    <mergeCell ref="C50:M50"/>
    <mergeCell ref="C47:M47"/>
    <mergeCell ref="C48:M48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2010-09-08T18:56:33Z</cp:lastPrinted>
  <dcterms:created xsi:type="dcterms:W3CDTF">1997-12-04T19:04:30Z</dcterms:created>
  <dcterms:modified xsi:type="dcterms:W3CDTF">2025-01-09T20:26:24Z</dcterms:modified>
</cp:coreProperties>
</file>