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3C95FF8-FDAA-4FC9-9964-6E1637B8705A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5B3EF4F-BCFB-4577-82FA-5443012BC9D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6" i="1" l="1"/>
  <c r="L421" i="1"/>
  <c r="J175" i="1"/>
  <c r="J184" i="1"/>
  <c r="J103" i="1"/>
  <c r="H103" i="1"/>
  <c r="F103" i="1"/>
  <c r="C60" i="2"/>
  <c r="B2" i="13"/>
  <c r="F8" i="13"/>
  <c r="G8" i="13"/>
  <c r="L196" i="1"/>
  <c r="C17" i="10" s="1"/>
  <c r="L214" i="1"/>
  <c r="L232" i="1"/>
  <c r="E8" i="13"/>
  <c r="D39" i="13"/>
  <c r="F13" i="13"/>
  <c r="G13" i="13"/>
  <c r="L198" i="1"/>
  <c r="L216" i="1"/>
  <c r="E13" i="13" s="1"/>
  <c r="C13" i="13" s="1"/>
  <c r="L234" i="1"/>
  <c r="F16" i="13"/>
  <c r="G16" i="13"/>
  <c r="L201" i="1"/>
  <c r="E16" i="13" s="1"/>
  <c r="C16" i="13" s="1"/>
  <c r="L219" i="1"/>
  <c r="C117" i="2" s="1"/>
  <c r="L237" i="1"/>
  <c r="F5" i="13"/>
  <c r="G5" i="13"/>
  <c r="L189" i="1"/>
  <c r="L190" i="1"/>
  <c r="L191" i="1"/>
  <c r="D5" i="13" s="1"/>
  <c r="L192" i="1"/>
  <c r="C104" i="2" s="1"/>
  <c r="L207" i="1"/>
  <c r="L208" i="1"/>
  <c r="C11" i="10" s="1"/>
  <c r="L209" i="1"/>
  <c r="L210" i="1"/>
  <c r="L225" i="1"/>
  <c r="L226" i="1"/>
  <c r="L239" i="1" s="1"/>
  <c r="L227" i="1"/>
  <c r="L228" i="1"/>
  <c r="F6" i="13"/>
  <c r="G6" i="13"/>
  <c r="G33" i="13" s="1"/>
  <c r="L194" i="1"/>
  <c r="C15" i="10" s="1"/>
  <c r="L212" i="1"/>
  <c r="L230" i="1"/>
  <c r="D6" i="13"/>
  <c r="C6" i="13" s="1"/>
  <c r="F7" i="13"/>
  <c r="G7" i="13"/>
  <c r="L195" i="1"/>
  <c r="D7" i="13" s="1"/>
  <c r="C7" i="13" s="1"/>
  <c r="L213" i="1"/>
  <c r="L231" i="1"/>
  <c r="F12" i="13"/>
  <c r="G12" i="13"/>
  <c r="L197" i="1"/>
  <c r="C113" i="2" s="1"/>
  <c r="L215" i="1"/>
  <c r="L233" i="1"/>
  <c r="D12" i="13"/>
  <c r="F14" i="13"/>
  <c r="G14" i="13"/>
  <c r="L199" i="1"/>
  <c r="D14" i="13" s="1"/>
  <c r="C14" i="13" s="1"/>
  <c r="L217" i="1"/>
  <c r="L235" i="1"/>
  <c r="F15" i="13"/>
  <c r="G15" i="13"/>
  <c r="L200" i="1"/>
  <c r="G639" i="1" s="1"/>
  <c r="J639" i="1" s="1"/>
  <c r="L218" i="1"/>
  <c r="L236" i="1"/>
  <c r="D15" i="13"/>
  <c r="F17" i="13"/>
  <c r="G17" i="13"/>
  <c r="L243" i="1"/>
  <c r="C106" i="2" s="1"/>
  <c r="F18" i="13"/>
  <c r="G18" i="13"/>
  <c r="L244" i="1"/>
  <c r="D18" i="13"/>
  <c r="C18" i="13" s="1"/>
  <c r="F19" i="13"/>
  <c r="G19" i="13"/>
  <c r="L245" i="1"/>
  <c r="D19" i="13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30" i="1" s="1"/>
  <c r="K344" i="1" s="1"/>
  <c r="K301" i="1"/>
  <c r="K320" i="1"/>
  <c r="G31" i="13"/>
  <c r="L268" i="1"/>
  <c r="L269" i="1"/>
  <c r="L282" i="1" s="1"/>
  <c r="L270" i="1"/>
  <c r="L271" i="1"/>
  <c r="L273" i="1"/>
  <c r="E110" i="2" s="1"/>
  <c r="L274" i="1"/>
  <c r="L275" i="1"/>
  <c r="L276" i="1"/>
  <c r="E113" i="2" s="1"/>
  <c r="L277" i="1"/>
  <c r="L278" i="1"/>
  <c r="L279" i="1"/>
  <c r="L280" i="1"/>
  <c r="L287" i="1"/>
  <c r="L288" i="1"/>
  <c r="L301" i="1" s="1"/>
  <c r="L289" i="1"/>
  <c r="L290" i="1"/>
  <c r="E104" i="2" s="1"/>
  <c r="E107" i="2" s="1"/>
  <c r="L292" i="1"/>
  <c r="L293" i="1"/>
  <c r="L294" i="1"/>
  <c r="E112" i="2" s="1"/>
  <c r="L295" i="1"/>
  <c r="L296" i="1"/>
  <c r="L297" i="1"/>
  <c r="L298" i="1"/>
  <c r="G652" i="1" s="1"/>
  <c r="L299" i="1"/>
  <c r="L306" i="1"/>
  <c r="C10" i="10" s="1"/>
  <c r="L307" i="1"/>
  <c r="L308" i="1"/>
  <c r="L320" i="1" s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L253" i="1"/>
  <c r="C25" i="10" s="1"/>
  <c r="L333" i="1"/>
  <c r="L334" i="1"/>
  <c r="L247" i="1"/>
  <c r="F22" i="13" s="1"/>
  <c r="L328" i="1"/>
  <c r="C15" i="13"/>
  <c r="C12" i="13"/>
  <c r="C11" i="13"/>
  <c r="C10" i="13"/>
  <c r="C9" i="13"/>
  <c r="C8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J104" i="1" s="1"/>
  <c r="G48" i="2"/>
  <c r="G51" i="2"/>
  <c r="G53" i="2"/>
  <c r="G54" i="2"/>
  <c r="G55" i="2" s="1"/>
  <c r="G96" i="2" s="1"/>
  <c r="F2" i="11"/>
  <c r="L603" i="1"/>
  <c r="H653" i="1"/>
  <c r="L602" i="1"/>
  <c r="G653" i="1"/>
  <c r="L601" i="1"/>
  <c r="F653" i="1" s="1"/>
  <c r="I653" i="1" s="1"/>
  <c r="C40" i="10"/>
  <c r="F52" i="1"/>
  <c r="C48" i="2" s="1"/>
  <c r="G52" i="1"/>
  <c r="G104" i="1" s="1"/>
  <c r="H52" i="1"/>
  <c r="H104" i="1" s="1"/>
  <c r="I52" i="1"/>
  <c r="I104" i="1" s="1"/>
  <c r="I185" i="1" s="1"/>
  <c r="G620" i="1" s="1"/>
  <c r="J620" i="1" s="1"/>
  <c r="F71" i="1"/>
  <c r="F86" i="1"/>
  <c r="C50" i="2" s="1"/>
  <c r="C54" i="2" s="1"/>
  <c r="G103" i="1"/>
  <c r="H71" i="1"/>
  <c r="H86" i="1"/>
  <c r="I103" i="1"/>
  <c r="C37" i="10"/>
  <c r="F113" i="1"/>
  <c r="F132" i="1" s="1"/>
  <c r="C38" i="10" s="1"/>
  <c r="F128" i="1"/>
  <c r="G113" i="1"/>
  <c r="G132" i="1" s="1"/>
  <c r="G128" i="1"/>
  <c r="H113" i="1"/>
  <c r="H128" i="1"/>
  <c r="H132" i="1"/>
  <c r="I113" i="1"/>
  <c r="I128" i="1"/>
  <c r="I132" i="1"/>
  <c r="J113" i="1"/>
  <c r="J132" i="1" s="1"/>
  <c r="J128" i="1"/>
  <c r="F139" i="1"/>
  <c r="F154" i="1"/>
  <c r="F161" i="1"/>
  <c r="G139" i="1"/>
  <c r="G154" i="1"/>
  <c r="G161" i="1" s="1"/>
  <c r="H139" i="1"/>
  <c r="H154" i="1"/>
  <c r="H161" i="1" s="1"/>
  <c r="I139" i="1"/>
  <c r="I154" i="1"/>
  <c r="I161" i="1"/>
  <c r="C12" i="10"/>
  <c r="C18" i="10"/>
  <c r="C19" i="10"/>
  <c r="L242" i="1"/>
  <c r="C23" i="10" s="1"/>
  <c r="L324" i="1"/>
  <c r="L246" i="1"/>
  <c r="L260" i="1"/>
  <c r="L261" i="1"/>
  <c r="L341" i="1"/>
  <c r="E134" i="2" s="1"/>
  <c r="E136" i="2" s="1"/>
  <c r="L342" i="1"/>
  <c r="I655" i="1"/>
  <c r="I660" i="1"/>
  <c r="L221" i="1"/>
  <c r="G651" i="1"/>
  <c r="H652" i="1"/>
  <c r="I659" i="1"/>
  <c r="C42" i="10"/>
  <c r="C32" i="10"/>
  <c r="L366" i="1"/>
  <c r="L367" i="1"/>
  <c r="L368" i="1"/>
  <c r="L369" i="1"/>
  <c r="L370" i="1"/>
  <c r="L374" i="1" s="1"/>
  <c r="G626" i="1" s="1"/>
  <c r="J626" i="1" s="1"/>
  <c r="L371" i="1"/>
  <c r="L372" i="1"/>
  <c r="C29" i="10"/>
  <c r="B2" i="10"/>
  <c r="L336" i="1"/>
  <c r="L337" i="1"/>
  <c r="L343" i="1" s="1"/>
  <c r="L338" i="1"/>
  <c r="L339" i="1"/>
  <c r="K343" i="1"/>
  <c r="L511" i="1"/>
  <c r="F539" i="1" s="1"/>
  <c r="L512" i="1"/>
  <c r="F540" i="1"/>
  <c r="L513" i="1"/>
  <c r="F541" i="1"/>
  <c r="L516" i="1"/>
  <c r="G539" i="1"/>
  <c r="G542" i="1" s="1"/>
  <c r="L517" i="1"/>
  <c r="G540" i="1" s="1"/>
  <c r="L518" i="1"/>
  <c r="G541" i="1" s="1"/>
  <c r="L521" i="1"/>
  <c r="H539" i="1"/>
  <c r="H542" i="1" s="1"/>
  <c r="L522" i="1"/>
  <c r="H540" i="1"/>
  <c r="L523" i="1"/>
  <c r="H541" i="1" s="1"/>
  <c r="L526" i="1"/>
  <c r="I539" i="1" s="1"/>
  <c r="L527" i="1"/>
  <c r="I540" i="1" s="1"/>
  <c r="L528" i="1"/>
  <c r="I541" i="1" s="1"/>
  <c r="L531" i="1"/>
  <c r="J539" i="1"/>
  <c r="L532" i="1"/>
  <c r="J540" i="1" s="1"/>
  <c r="J542" i="1" s="1"/>
  <c r="L533" i="1"/>
  <c r="L534" i="1" s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F19" i="2" s="1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E19" i="2" s="1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D19" i="2"/>
  <c r="C22" i="2"/>
  <c r="D22" i="2"/>
  <c r="E22" i="2"/>
  <c r="F22" i="2"/>
  <c r="I440" i="1"/>
  <c r="J23" i="1"/>
  <c r="G22" i="2"/>
  <c r="C23" i="2"/>
  <c r="D23" i="2"/>
  <c r="D32" i="2" s="1"/>
  <c r="E23" i="2"/>
  <c r="E32" i="2" s="1"/>
  <c r="F23" i="2"/>
  <c r="I441" i="1"/>
  <c r="I444" i="1" s="1"/>
  <c r="I451" i="1" s="1"/>
  <c r="H632" i="1" s="1"/>
  <c r="J24" i="1"/>
  <c r="J33" i="1" s="1"/>
  <c r="C24" i="2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2" i="2"/>
  <c r="C34" i="2"/>
  <c r="D34" i="2"/>
  <c r="D42" i="2" s="1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C42" i="2" s="1"/>
  <c r="C43" i="2" s="1"/>
  <c r="D37" i="2"/>
  <c r="E37" i="2"/>
  <c r="F37" i="2"/>
  <c r="I447" i="1"/>
  <c r="J38" i="1" s="1"/>
  <c r="G37" i="2" s="1"/>
  <c r="C38" i="2"/>
  <c r="D38" i="2"/>
  <c r="E38" i="2"/>
  <c r="E42" i="2" s="1"/>
  <c r="E43" i="2" s="1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2" i="2"/>
  <c r="F43" i="2" s="1"/>
  <c r="D48" i="2"/>
  <c r="D55" i="2" s="1"/>
  <c r="E48" i="2"/>
  <c r="C49" i="2"/>
  <c r="E49" i="2"/>
  <c r="E54" i="2" s="1"/>
  <c r="E55" i="2" s="1"/>
  <c r="E50" i="2"/>
  <c r="C51" i="2"/>
  <c r="D51" i="2"/>
  <c r="D54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 s="1"/>
  <c r="G73" i="2" s="1"/>
  <c r="E70" i="2"/>
  <c r="C71" i="2"/>
  <c r="D71" i="2"/>
  <c r="E71" i="2"/>
  <c r="C72" i="2"/>
  <c r="E72" i="2"/>
  <c r="C77" i="2"/>
  <c r="D77" i="2"/>
  <c r="E77" i="2"/>
  <c r="F77" i="2"/>
  <c r="C79" i="2"/>
  <c r="C83" i="2" s="1"/>
  <c r="E79" i="2"/>
  <c r="E83" i="2" s="1"/>
  <c r="F79" i="2"/>
  <c r="C80" i="2"/>
  <c r="D80" i="2"/>
  <c r="E80" i="2"/>
  <c r="F80" i="2"/>
  <c r="C81" i="2"/>
  <c r="D81" i="2"/>
  <c r="E81" i="2"/>
  <c r="F81" i="2"/>
  <c r="C82" i="2"/>
  <c r="D83" i="2"/>
  <c r="F83" i="2"/>
  <c r="C85" i="2"/>
  <c r="F85" i="2"/>
  <c r="C86" i="2"/>
  <c r="F86" i="2"/>
  <c r="F95" i="2" s="1"/>
  <c r="D88" i="2"/>
  <c r="E88" i="2"/>
  <c r="F88" i="2"/>
  <c r="G88" i="2"/>
  <c r="C89" i="2"/>
  <c r="D89" i="2"/>
  <c r="D95" i="2" s="1"/>
  <c r="E89" i="2"/>
  <c r="F89" i="2"/>
  <c r="G89" i="2"/>
  <c r="G95" i="2" s="1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1" i="2"/>
  <c r="E101" i="2"/>
  <c r="C102" i="2"/>
  <c r="E102" i="2"/>
  <c r="C103" i="2"/>
  <c r="E103" i="2"/>
  <c r="C105" i="2"/>
  <c r="E105" i="2"/>
  <c r="D107" i="2"/>
  <c r="F107" i="2"/>
  <c r="G107" i="2"/>
  <c r="G137" i="2" s="1"/>
  <c r="C110" i="2"/>
  <c r="E111" i="2"/>
  <c r="C114" i="2"/>
  <c r="E114" i="2"/>
  <c r="E115" i="2"/>
  <c r="C116" i="2"/>
  <c r="E117" i="2"/>
  <c r="F120" i="2"/>
  <c r="G120" i="2"/>
  <c r="E122" i="2"/>
  <c r="F122" i="2"/>
  <c r="D126" i="2"/>
  <c r="E126" i="2"/>
  <c r="F126" i="2"/>
  <c r="F136" i="2" s="1"/>
  <c r="K411" i="1"/>
  <c r="K419" i="1"/>
  <c r="K426" i="1" s="1"/>
  <c r="G126" i="2" s="1"/>
  <c r="G136" i="2" s="1"/>
  <c r="K425" i="1"/>
  <c r="L255" i="1"/>
  <c r="C127" i="2" s="1"/>
  <c r="E127" i="2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/>
  <c r="H490" i="1"/>
  <c r="D153" i="2" s="1"/>
  <c r="I490" i="1"/>
  <c r="E153" i="2"/>
  <c r="J490" i="1"/>
  <c r="F153" i="2"/>
  <c r="B154" i="2"/>
  <c r="C154" i="2"/>
  <c r="G154" i="2" s="1"/>
  <c r="D154" i="2"/>
  <c r="E154" i="2"/>
  <c r="F154" i="2"/>
  <c r="B155" i="2"/>
  <c r="C155" i="2"/>
  <c r="D155" i="2"/>
  <c r="E155" i="2"/>
  <c r="F155" i="2"/>
  <c r="G155" i="2" s="1"/>
  <c r="F493" i="1"/>
  <c r="B156" i="2"/>
  <c r="G493" i="1"/>
  <c r="C156" i="2" s="1"/>
  <c r="H493" i="1"/>
  <c r="D156" i="2"/>
  <c r="I493" i="1"/>
  <c r="E156" i="2"/>
  <c r="J493" i="1"/>
  <c r="F156" i="2" s="1"/>
  <c r="F19" i="1"/>
  <c r="G607" i="1" s="1"/>
  <c r="G19" i="1"/>
  <c r="H19" i="1"/>
  <c r="I19" i="1"/>
  <c r="G610" i="1" s="1"/>
  <c r="J610" i="1" s="1"/>
  <c r="F33" i="1"/>
  <c r="G33" i="1"/>
  <c r="H33" i="1"/>
  <c r="I33" i="1"/>
  <c r="I44" i="1" s="1"/>
  <c r="H610" i="1" s="1"/>
  <c r="F43" i="1"/>
  <c r="G43" i="1"/>
  <c r="G44" i="1" s="1"/>
  <c r="H608" i="1" s="1"/>
  <c r="H43" i="1"/>
  <c r="H44" i="1" s="1"/>
  <c r="H609" i="1" s="1"/>
  <c r="I43" i="1"/>
  <c r="F44" i="1"/>
  <c r="H607" i="1" s="1"/>
  <c r="F169" i="1"/>
  <c r="F184" i="1" s="1"/>
  <c r="I169" i="1"/>
  <c r="F175" i="1"/>
  <c r="G175" i="1"/>
  <c r="G184" i="1" s="1"/>
  <c r="H175" i="1"/>
  <c r="H184" i="1" s="1"/>
  <c r="I175" i="1"/>
  <c r="F180" i="1"/>
  <c r="G180" i="1"/>
  <c r="H180" i="1"/>
  <c r="I180" i="1"/>
  <c r="I184" i="1"/>
  <c r="F203" i="1"/>
  <c r="F249" i="1" s="1"/>
  <c r="F263" i="1" s="1"/>
  <c r="G203" i="1"/>
  <c r="H203" i="1"/>
  <c r="I203" i="1"/>
  <c r="I249" i="1" s="1"/>
  <c r="I263" i="1" s="1"/>
  <c r="J203" i="1"/>
  <c r="K203" i="1"/>
  <c r="F221" i="1"/>
  <c r="G221" i="1"/>
  <c r="H221" i="1"/>
  <c r="I221" i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G249" i="1"/>
  <c r="G263" i="1" s="1"/>
  <c r="H249" i="1"/>
  <c r="H263" i="1" s="1"/>
  <c r="L262" i="1"/>
  <c r="F282" i="1"/>
  <c r="G282" i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L329" i="1" s="1"/>
  <c r="K329" i="1"/>
  <c r="F330" i="1"/>
  <c r="F344" i="1" s="1"/>
  <c r="G330" i="1"/>
  <c r="G344" i="1" s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F400" i="1" s="1"/>
  <c r="H633" i="1" s="1"/>
  <c r="G393" i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2" i="1"/>
  <c r="L425" i="1" s="1"/>
  <c r="L423" i="1"/>
  <c r="L424" i="1"/>
  <c r="F425" i="1"/>
  <c r="G425" i="1"/>
  <c r="G426" i="1" s="1"/>
  <c r="H425" i="1"/>
  <c r="I425" i="1"/>
  <c r="J425" i="1"/>
  <c r="H426" i="1"/>
  <c r="J426" i="1"/>
  <c r="F438" i="1"/>
  <c r="G438" i="1"/>
  <c r="H438" i="1"/>
  <c r="G631" i="1" s="1"/>
  <c r="J631" i="1" s="1"/>
  <c r="I438" i="1"/>
  <c r="G632" i="1" s="1"/>
  <c r="F444" i="1"/>
  <c r="G444" i="1"/>
  <c r="G451" i="1" s="1"/>
  <c r="H630" i="1" s="1"/>
  <c r="H444" i="1"/>
  <c r="F450" i="1"/>
  <c r="G450" i="1"/>
  <c r="H450" i="1"/>
  <c r="I450" i="1"/>
  <c r="F451" i="1"/>
  <c r="H451" i="1"/>
  <c r="H631" i="1" s="1"/>
  <c r="I460" i="1"/>
  <c r="I464" i="1"/>
  <c r="I466" i="1" s="1"/>
  <c r="H615" i="1" s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K514" i="1"/>
  <c r="F519" i="1"/>
  <c r="G519" i="1"/>
  <c r="H519" i="1"/>
  <c r="I519" i="1"/>
  <c r="J519" i="1"/>
  <c r="K519" i="1"/>
  <c r="L519" i="1"/>
  <c r="F524" i="1"/>
  <c r="G524" i="1"/>
  <c r="H524" i="1"/>
  <c r="H535" i="1" s="1"/>
  <c r="I524" i="1"/>
  <c r="J524" i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50" i="1" s="1"/>
  <c r="L549" i="1"/>
  <c r="F550" i="1"/>
  <c r="G550" i="1"/>
  <c r="H550" i="1"/>
  <c r="I550" i="1"/>
  <c r="J550" i="1"/>
  <c r="J561" i="1" s="1"/>
  <c r="K550" i="1"/>
  <c r="K561" i="1" s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G609" i="1"/>
  <c r="G612" i="1"/>
  <c r="G613" i="1"/>
  <c r="G615" i="1"/>
  <c r="H620" i="1"/>
  <c r="G624" i="1"/>
  <c r="H626" i="1"/>
  <c r="G629" i="1"/>
  <c r="J629" i="1" s="1"/>
  <c r="H629" i="1"/>
  <c r="G630" i="1"/>
  <c r="J630" i="1" s="1"/>
  <c r="G633" i="1"/>
  <c r="G634" i="1"/>
  <c r="J634" i="1" s="1"/>
  <c r="G635" i="1"/>
  <c r="J635" i="1" s="1"/>
  <c r="H637" i="1"/>
  <c r="G640" i="1"/>
  <c r="G641" i="1"/>
  <c r="J641" i="1" s="1"/>
  <c r="H641" i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J263" i="1" l="1"/>
  <c r="H638" i="1"/>
  <c r="J638" i="1" s="1"/>
  <c r="L561" i="1"/>
  <c r="D73" i="2"/>
  <c r="J624" i="1"/>
  <c r="F137" i="2"/>
  <c r="J19" i="1"/>
  <c r="G611" i="1" s="1"/>
  <c r="J632" i="1"/>
  <c r="C120" i="2"/>
  <c r="G650" i="1"/>
  <c r="G654" i="1" s="1"/>
  <c r="L330" i="1"/>
  <c r="L344" i="1" s="1"/>
  <c r="D31" i="13"/>
  <c r="C31" i="13" s="1"/>
  <c r="I542" i="1"/>
  <c r="K540" i="1"/>
  <c r="G19" i="2"/>
  <c r="J615" i="1"/>
  <c r="J607" i="1"/>
  <c r="L400" i="1"/>
  <c r="C130" i="2"/>
  <c r="C133" i="2" s="1"/>
  <c r="C5" i="13"/>
  <c r="J640" i="1"/>
  <c r="F542" i="1"/>
  <c r="K539" i="1"/>
  <c r="K542" i="1" s="1"/>
  <c r="J609" i="1"/>
  <c r="H185" i="1"/>
  <c r="J633" i="1"/>
  <c r="C107" i="2"/>
  <c r="E73" i="2"/>
  <c r="G42" i="2"/>
  <c r="D43" i="2"/>
  <c r="K541" i="1"/>
  <c r="C39" i="10"/>
  <c r="G185" i="1"/>
  <c r="H650" i="1"/>
  <c r="H654" i="1" s="1"/>
  <c r="E96" i="2"/>
  <c r="F33" i="13"/>
  <c r="C22" i="13"/>
  <c r="J608" i="1"/>
  <c r="E33" i="13"/>
  <c r="D35" i="13" s="1"/>
  <c r="L426" i="1"/>
  <c r="G156" i="2"/>
  <c r="D96" i="2"/>
  <c r="C55" i="2"/>
  <c r="C96" i="2" s="1"/>
  <c r="J185" i="1"/>
  <c r="E120" i="2"/>
  <c r="E137" i="2" s="1"/>
  <c r="D119" i="2"/>
  <c r="D120" i="2" s="1"/>
  <c r="D137" i="2" s="1"/>
  <c r="C112" i="2"/>
  <c r="G23" i="2"/>
  <c r="G32" i="2" s="1"/>
  <c r="H651" i="1"/>
  <c r="C24" i="10"/>
  <c r="C13" i="10"/>
  <c r="D17" i="13"/>
  <c r="C17" i="13" s="1"/>
  <c r="G614" i="1"/>
  <c r="L514" i="1"/>
  <c r="L535" i="1" s="1"/>
  <c r="J43" i="1"/>
  <c r="C111" i="2"/>
  <c r="F651" i="1"/>
  <c r="I651" i="1" s="1"/>
  <c r="F104" i="1"/>
  <c r="F185" i="1" s="1"/>
  <c r="E116" i="2"/>
  <c r="F48" i="2"/>
  <c r="F55" i="2" s="1"/>
  <c r="F96" i="2" s="1"/>
  <c r="C35" i="10"/>
  <c r="C21" i="10"/>
  <c r="C122" i="2"/>
  <c r="C136" i="2" s="1"/>
  <c r="C115" i="2"/>
  <c r="C26" i="10"/>
  <c r="C20" i="10"/>
  <c r="L354" i="1"/>
  <c r="L203" i="1"/>
  <c r="F652" i="1"/>
  <c r="I652" i="1" s="1"/>
  <c r="C16" i="10"/>
  <c r="H25" i="13"/>
  <c r="G458" i="1" l="1"/>
  <c r="G618" i="1"/>
  <c r="D33" i="13"/>
  <c r="D36" i="13" s="1"/>
  <c r="J44" i="1"/>
  <c r="H611" i="1" s="1"/>
  <c r="G616" i="1"/>
  <c r="J611" i="1"/>
  <c r="G627" i="1"/>
  <c r="H636" i="1"/>
  <c r="G628" i="1"/>
  <c r="J462" i="1"/>
  <c r="C36" i="10"/>
  <c r="C137" i="2"/>
  <c r="G623" i="1"/>
  <c r="H462" i="1"/>
  <c r="L249" i="1"/>
  <c r="L263" i="1" s="1"/>
  <c r="F650" i="1"/>
  <c r="H657" i="1"/>
  <c r="H662" i="1"/>
  <c r="C6" i="10" s="1"/>
  <c r="J458" i="1"/>
  <c r="G636" i="1"/>
  <c r="G621" i="1"/>
  <c r="G43" i="2"/>
  <c r="H33" i="13"/>
  <c r="C25" i="13"/>
  <c r="G617" i="1"/>
  <c r="F458" i="1"/>
  <c r="G619" i="1"/>
  <c r="H458" i="1"/>
  <c r="G662" i="1"/>
  <c r="C5" i="10" s="1"/>
  <c r="G657" i="1"/>
  <c r="G625" i="1"/>
  <c r="G462" i="1"/>
  <c r="C27" i="10"/>
  <c r="C28" i="10" s="1"/>
  <c r="D22" i="10" l="1"/>
  <c r="D18" i="10"/>
  <c r="C30" i="10"/>
  <c r="D23" i="10"/>
  <c r="D10" i="10"/>
  <c r="D17" i="10"/>
  <c r="D25" i="10"/>
  <c r="D11" i="10"/>
  <c r="D19" i="10"/>
  <c r="D12" i="10"/>
  <c r="D15" i="10"/>
  <c r="D13" i="10"/>
  <c r="D20" i="10"/>
  <c r="D21" i="10"/>
  <c r="D16" i="10"/>
  <c r="D26" i="10"/>
  <c r="D24" i="10"/>
  <c r="J460" i="1"/>
  <c r="J466" i="1" s="1"/>
  <c r="H616" i="1" s="1"/>
  <c r="J616" i="1" s="1"/>
  <c r="H627" i="1"/>
  <c r="J627" i="1" s="1"/>
  <c r="H621" i="1"/>
  <c r="H460" i="1"/>
  <c r="H466" i="1" s="1"/>
  <c r="H614" i="1" s="1"/>
  <c r="J614" i="1" s="1"/>
  <c r="H619" i="1"/>
  <c r="J619" i="1" s="1"/>
  <c r="F654" i="1"/>
  <c r="I650" i="1"/>
  <c r="I654" i="1" s="1"/>
  <c r="H617" i="1"/>
  <c r="F460" i="1"/>
  <c r="J617" i="1"/>
  <c r="F462" i="1"/>
  <c r="G622" i="1"/>
  <c r="H628" i="1"/>
  <c r="J628" i="1" s="1"/>
  <c r="J464" i="1"/>
  <c r="H623" i="1"/>
  <c r="J623" i="1" s="1"/>
  <c r="H464" i="1"/>
  <c r="D27" i="10"/>
  <c r="G464" i="1"/>
  <c r="H625" i="1"/>
  <c r="J625" i="1"/>
  <c r="J621" i="1"/>
  <c r="J618" i="1"/>
  <c r="J636" i="1"/>
  <c r="C41" i="10"/>
  <c r="G460" i="1"/>
  <c r="G466" i="1" s="1"/>
  <c r="H613" i="1" s="1"/>
  <c r="J613" i="1" s="1"/>
  <c r="H618" i="1"/>
  <c r="I657" i="1" l="1"/>
  <c r="I662" i="1"/>
  <c r="C7" i="10" s="1"/>
  <c r="D40" i="10"/>
  <c r="D38" i="10"/>
  <c r="D37" i="10"/>
  <c r="D35" i="10"/>
  <c r="D39" i="10"/>
  <c r="F662" i="1"/>
  <c r="C4" i="10" s="1"/>
  <c r="F657" i="1"/>
  <c r="D36" i="10"/>
  <c r="F464" i="1"/>
  <c r="F466" i="1" s="1"/>
  <c r="H612" i="1" s="1"/>
  <c r="H622" i="1"/>
  <c r="J622" i="1" s="1"/>
  <c r="D28" i="10"/>
  <c r="J612" i="1" l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69A77F9-285A-46B5-ADF0-231E28E0E64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EC9B18A-FDFE-4D94-B96B-3D984475294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935DB59-636E-4072-934E-22CF9B161B2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7DB7D38-5218-4868-A62E-234900E9957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5D113BF-F2EB-467D-88A9-7D70889B9A4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33679D1-FA20-4A78-9459-AE720AA30E6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A0613AA-1347-46A0-987A-33D8E2E2638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9EEFE1A-D680-41C3-A7A9-ACF71BF092D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2F1E75D-145F-4AFF-8C44-EA66CD78AE6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1BD057F-9FE6-4B6C-9D13-15D8853EFCA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F01C28C-3609-45E9-8FB0-CA8B833B1F1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C128E89-70A0-4317-A329-D0CF50993E5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<sst xmlns="http://schemas.openxmlformats.org/spreadsheetml/2006/main" count="3863" uniqueCount="899">
  <si>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</si>
  <si>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</si>
  <si>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</si>
  <si>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</si>
  <si>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</si>
  <si>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</si>
  <si>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</si>
  <si>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</si>
  <si>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</si>
  <si>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</si>
  <si>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</si>
  <si>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</si>
  <si>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</si>
  <si>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</si>
  <si>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</si>
  <si>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</si>
  <si>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</si>
  <si>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</si>
  <si>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</si>
  <si>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</si>
  <si>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</si>
  <si>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</si>
  <si>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</si>
  <si>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</si>
  <si>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</si>
  <si>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</si>
  <si>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</si>
  <si>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</si>
  <si>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</si>
  <si>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</si>
  <si>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</si>
  <si>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</si>
  <si>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</si>
  <si>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</si>
  <si>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</si>
  <si>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</si>
  <si>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</si>
  <si>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</si>
  <si>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</si>
  <si>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</si>
  <si>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</si>
  <si>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</si>
  <si>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</si>
  <si>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</si>
  <si>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</si>
  <si>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</si>
  <si>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</si>
  <si>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</si>
  <si>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</si>
  <si>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</si>
  <si>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</si>
  <si>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</si>
  <si>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</si>
  <si>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</si>
  <si>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</si>
  <si>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</si>
  <si>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</si>
  <si>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</si>
  <si>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</si>
  <si>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</si>
  <si>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</si>
  <si>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</si>
  <si>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</si>
  <si>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</si>
  <si>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</si>
  <si>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</si>
  <si>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</si>
  <si>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</si>
  <si>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</si>
  <si>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</si>
  <si>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</si>
  <si>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</si>
  <si>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</si>
  <si>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</si>
  <si>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</si>
  <si>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</si>
  <si>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</si>
  <si>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</si>
  <si>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</si>
  <si>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</si>
  <si>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</si>
  <si>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</si>
  <si>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</si>
  <si>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</si>
  <si>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</si>
  <si>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</si>
  <si>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</si>
  <si>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</si>
  <si>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</si>
  <si>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</si>
  <si>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</si>
  <si>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</si>
  <si>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</si>
  <si>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</si>
  <si>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</si>
  <si>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</si>
  <si>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</si>
  <si>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</si>
  <si>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</si>
  <si>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</si>
  <si>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</si>
  <si>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</si>
  <si>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</si>
  <si>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</si>
  <si>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</si>
  <si>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</si>
  <si>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</si>
  <si>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</si>
  <si>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</si>
  <si>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</si>
  <si>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</si>
  <si>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</si>
  <si>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</si>
  <si>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</si>
  <si>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</si>
  <si>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</si>
  <si>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</si>
  <si>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</si>
  <si>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</si>
  <si>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</si>
  <si>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</si>
  <si>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</si>
  <si>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</si>
  <si>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</si>
  <si>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</si>
  <si>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</si>
  <si>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</si>
  <si>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</si>
  <si>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</si>
  <si>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</si>
  <si>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</si>
  <si>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</si>
  <si>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</si>
  <si>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</si>
  <si>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</si>
  <si>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</si>
  <si>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</si>
  <si>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</si>
  <si>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</si>
  <si>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</si>
  <si>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</si>
  <si>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</si>
  <si>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</si>
  <si>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</si>
  <si>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</si>
  <si>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</si>
  <si>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</si>
  <si>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</si>
  <si>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</si>
  <si>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</si>
  <si>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</si>
  <si>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</si>
  <si>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</si>
  <si>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</si>
  <si>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</si>
  <si>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</si>
  <si>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</si>
  <si>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</si>
  <si>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</si>
  <si>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</si>
  <si>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</si>
  <si>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</si>
  <si>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</si>
  <si>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</si>
  <si>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</si>
  <si>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</si>
  <si>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</si>
  <si>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</si>
  <si>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</si>
  <si>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</si>
  <si>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</si>
  <si>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</si>
  <si>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</si>
  <si>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</si>
  <si>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</si>
  <si>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</si>
  <si>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</si>
  <si>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</si>
  <si>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</si>
  <si>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</si>
  <si>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</si>
  <si>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</si>
  <si>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</si>
  <si>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</si>
  <si>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</si>
  <si>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</si>
  <si>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</si>
  <si>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</si>
  <si>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</si>
  <si>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</si>
  <si>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</si>
  <si>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</si>
  <si>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</si>
  <si>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</si>
  <si>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</si>
  <si>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</si>
  <si>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</si>
  <si>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</si>
  <si>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</si>
  <si>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</si>
  <si>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</si>
  <si>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</si>
  <si>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</si>
  <si>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</si>
  <si>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</si>
  <si>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</si>
  <si>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</si>
  <si>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</si>
  <si>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</si>
  <si>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</si>
  <si>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</si>
  <si>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</si>
  <si>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</si>
  <si>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</si>
  <si>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</si>
  <si>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</si>
  <si>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</si>
  <si>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</si>
  <si>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</si>
  <si>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</si>
  <si>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</si>
  <si>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</si>
  <si>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</si>
  <si>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</si>
  <si>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</si>
  <si>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</si>
  <si>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</si>
  <si>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</si>
  <si>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</si>
  <si>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</si>
  <si>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</si>
  <si>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</si>
  <si>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</si>
  <si>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</si>
  <si>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</si>
  <si>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</si>
  <si>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</si>
  <si>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</si>
  <si>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</si>
  <si>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</si>
  <si>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</si>
  <si>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</si>
  <si>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</si>
  <si>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</si>
  <si>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</si>
  <si>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</si>
  <si>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</si>
  <si>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</si>
  <si>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</si>
  <si>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</si>
  <si>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</si>
  <si>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</si>
  <si>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</si>
  <si>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</si>
  <si>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</si>
  <si>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</si>
  <si>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</si>
  <si>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</si>
  <si>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</si>
  <si>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</si>
  <si>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</si>
  <si>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</si>
  <si>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</si>
  <si>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</si>
  <si>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</si>
  <si>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</si>
  <si>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</si>
  <si>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</si>
  <si>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</si>
  <si>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</si>
  <si>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</si>
  <si>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</si>
  <si>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</si>
  <si>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</si>
  <si>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</si>
  <si>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</si>
  <si>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</si>
  <si>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</si>
  <si>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</si>
  <si>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</si>
  <si>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</si>
  <si>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</si>
  <si>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</si>
  <si>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</si>
  <si>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</si>
  <si>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</si>
  <si>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</si>
  <si>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</si>
  <si>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</si>
  <si>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</si>
  <si>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</si>
  <si>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</si>
  <si>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</si>
  <si>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</si>
  <si>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</si>
  <si>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</si>
  <si>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</si>
  <si>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</si>
  <si>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</si>
  <si>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</si>
  <si>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</si>
  <si>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</si>
  <si>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</si>
  <si>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</si>
  <si>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</si>
  <si>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</si>
  <si>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</si>
  <si>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</si>
  <si>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</si>
  <si>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</si>
  <si>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</si>
  <si>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</si>
  <si>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</si>
  <si>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</si>
  <si>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</si>
  <si>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</si>
  <si>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</si>
  <si>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</si>
  <si>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</si>
  <si>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</si>
  <si>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</si>
  <si>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</si>
  <si>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</si>
  <si>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</si>
  <si>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</si>
  <si>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</si>
  <si>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</si>
  <si>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</si>
  <si>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</si>
  <si>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</si>
  <si>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</si>
  <si>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</si>
  <si>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</si>
  <si>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</si>
  <si>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</si>
  <si>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</si>
  <si>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</si>
  <si>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</si>
  <si>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</si>
  <si>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</si>
  <si>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</si>
  <si>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</si>
  <si>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</si>
  <si>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</si>
  <si>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</si>
  <si>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</si>
  <si>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</si>
  <si>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</si>
  <si>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</si>
  <si>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</si>
  <si>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</si>
  <si>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</si>
  <si>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</si>
  <si>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</si>
  <si>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</si>
  <si>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</si>
  <si>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</si>
  <si>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</si>
  <si>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</si>
  <si>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</si>
  <si>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</si>
  <si>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</si>
  <si>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</si>
  <si>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</si>
  <si>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</si>
  <si>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</si>
  <si>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</si>
  <si>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</si>
  <si>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</si>
  <si>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</si>
  <si>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</si>
  <si>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</si>
  <si>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</si>
  <si>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</si>
  <si>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</si>
  <si>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</si>
  <si>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</si>
  <si>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</si>
  <si>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</si>
  <si>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</si>
  <si>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</si>
  <si>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</si>
  <si>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</si>
  <si>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</si>
  <si>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</si>
  <si>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</si>
  <si>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</si>
  <si>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</si>
  <si>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</si>
  <si>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</si>
  <si>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</si>
  <si>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</si>
  <si>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</si>
  <si>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</si>
  <si>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</si>
  <si>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</si>
  <si>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</si>
  <si>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</si>
  <si>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</si>
  <si>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</si>
  <si>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</si>
  <si>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</si>
  <si>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</si>
  <si>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</si>
  <si>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</si>
  <si>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</si>
  <si>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</si>
  <si>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</si>
  <si>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</si>
  <si>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</si>
  <si>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</si>
  <si>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</si>
  <si>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</si>
  <si>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</si>
  <si>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</si>
  <si>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</si>
  <si>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</si>
  <si>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</si>
  <si>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</si>
  <si>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</si>
  <si>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</si>
  <si>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</si>
  <si>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</si>
  <si>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</si>
  <si>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</si>
  <si>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</si>
  <si>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</si>
  <si>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</si>
  <si>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</si>
  <si>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</si>
  <si>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</si>
  <si>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</si>
  <si>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</si>
  <si>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</si>
  <si>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</si>
  <si>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</si>
  <si>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</si>
  <si>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</si>
  <si>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</si>
  <si>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</si>
  <si>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</si>
  <si>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</si>
  <si>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</si>
  <si>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</si>
  <si>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</si>
  <si>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</si>
  <si>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</si>
  <si>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</si>
  <si>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</si>
  <si>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</si>
  <si>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</si>
  <si>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</si>
  <si>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</si>
  <si>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</si>
  <si>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</si>
  <si>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</si>
  <si>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</si>
  <si>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</si>
  <si>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</si>
  <si>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</si>
  <si>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</si>
  <si>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</si>
  <si>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</si>
  <si>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</si>
  <si>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</si>
  <si>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</si>
  <si>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</si>
  <si>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</si>
  <si>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</si>
  <si>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</si>
  <si>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</si>
  <si>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</si>
  <si>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</si>
  <si>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</si>
  <si>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</si>
  <si>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</si>
  <si>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</si>
  <si>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</si>
  <si>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</si>
  <si>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</si>
  <si>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</si>
  <si>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</si>
  <si>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</si>
  <si>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</si>
  <si>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</si>
  <si>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</si>
  <si>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</si>
  <si>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</si>
  <si>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</si>
  <si>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</si>
  <si>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</si>
  <si>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</si>
  <si>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</si>
  <si>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</si>
  <si>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</si>
  <si>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</si>
  <si>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</si>
  <si>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</si>
  <si>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</si>
  <si>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</si>
  <si>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</si>
  <si>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</si>
  <si>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</si>
  <si>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</si>
  <si>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</si>
  <si>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</si>
  <si>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</si>
  <si>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</si>
  <si>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</si>
  <si>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</si>
  <si>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</si>
  <si>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</si>
  <si>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</si>
  <si>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</si>
  <si>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</si>
  <si>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</si>
  <si>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</si>
  <si>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</si>
  <si>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</si>
  <si>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</si>
  <si>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</si>
  <si>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</si>
  <si>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</si>
  <si>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</si>
  <si>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</si>
  <si>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</si>
  <si>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</si>
  <si>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</si>
  <si>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</si>
  <si>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</si>
  <si>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</si>
  <si>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</si>
  <si>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</si>
  <si>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</si>
  <si>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</si>
  <si>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</si>
  <si>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</si>
  <si>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</si>
  <si>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</si>
  <si>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</si>
  <si>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</si>
  <si>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</si>
  <si>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</si>
  <si>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</si>
  <si>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</si>
  <si>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</si>
  <si>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</si>
  <si>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</si>
  <si>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</si>
  <si>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</si>
  <si>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</si>
  <si>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</si>
  <si>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</si>
  <si>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</si>
  <si>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</si>
  <si>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</si>
  <si>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</si>
  <si>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</si>
  <si>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</si>
  <si>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</si>
  <si>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</si>
  <si>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</si>
  <si>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</si>
  <si>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</si>
  <si>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</si>
  <si>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</si>
  <si>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</si>
  <si>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</si>
  <si>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</si>
  <si>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</si>
  <si>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</si>
  <si>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</si>
  <si>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</si>
  <si>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</si>
  <si>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</si>
  <si>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</si>
  <si>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</si>
  <si>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</si>
  <si>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</si>
  <si>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</si>
  <si>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</si>
  <si>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</si>
  <si>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</si>
  <si>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</si>
  <si>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</si>
  <si>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</si>
  <si>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</si>
  <si>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</si>
  <si>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</si>
  <si>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</si>
  <si>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</si>
  <si>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</si>
  <si>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</si>
  <si>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</si>
  <si>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</si>
  <si>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</si>
  <si>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</si>
  <si>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</si>
  <si>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</si>
  <si>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</si>
  <si>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</si>
  <si>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</si>
  <si>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</si>
  <si>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</si>
  <si>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</si>
  <si>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</si>
  <si>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</si>
  <si>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</si>
  <si>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</si>
  <si>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</si>
  <si>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</si>
  <si>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</si>
  <si>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</si>
  <si>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</si>
  <si>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</si>
  <si>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</si>
  <si>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</si>
  <si>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</si>
  <si>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</si>
  <si>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</si>
  <si>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</si>
  <si>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</si>
  <si>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</si>
  <si>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</si>
  <si>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</si>
  <si>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</si>
  <si>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</si>
  <si>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</si>
  <si>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</si>
  <si>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</si>
  <si>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</si>
  <si>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</si>
  <si>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</si>
  <si>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</si>
  <si>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</si>
  <si>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</si>
  <si>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</si>
  <si>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</si>
  <si>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</si>
  <si>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</si>
  <si>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</si>
  <si>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</si>
  <si>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</si>
  <si>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</si>
  <si>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</si>
  <si>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</si>
  <si>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</si>
  <si>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</si>
  <si>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</si>
  <si>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</si>
  <si>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</si>
  <si>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</si>
  <si>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</si>
  <si>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</si>
  <si>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</si>
  <si>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</si>
  <si>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</si>
  <si>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</si>
  <si>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</si>
  <si>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</si>
  <si>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</si>
  <si>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</si>
  <si>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</si>
  <si>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</si>
  <si>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</si>
  <si>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</si>
  <si>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</si>
  <si>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</si>
  <si>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</si>
  <si>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</si>
  <si>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</si>
  <si>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</si>
  <si>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</si>
  <si>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</si>
  <si>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</si>
  <si>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</si>
  <si>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</si>
  <si>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</si>
  <si>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</si>
  <si>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</si>
  <si>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</si>
  <si>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</si>
  <si>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</si>
  <si>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</si>
  <si>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</si>
  <si>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</si>
  <si>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</si>
  <si>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</si>
  <si>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</si>
  <si>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</si>
  <si>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</si>
  <si>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</si>
  <si>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</si>
  <si>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</si>
  <si>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</si>
  <si>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</si>
  <si>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</si>
  <si>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</si>
  <si>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</si>
  <si>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</si>
  <si>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</si>
  <si>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</si>
  <si>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</si>
  <si>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</si>
  <si>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</si>
  <si>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</si>
  <si>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</si>
  <si>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</si>
  <si>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</si>
  <si>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</si>
  <si>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</si>
  <si>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</si>
  <si>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</si>
  <si>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</si>
  <si>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</si>
  <si>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</si>
  <si>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</si>
  <si>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</si>
  <si>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</si>
  <si>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</si>
  <si>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</si>
  <si>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</si>
  <si>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</si>
  <si>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</si>
  <si>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</si>
  <si>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</si>
  <si>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</si>
  <si>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</si>
  <si>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</si>
  <si>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</si>
  <si>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</si>
  <si>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</si>
  <si>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</si>
  <si>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</si>
  <si>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</si>
  <si>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</si>
  <si>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</si>
  <si>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</si>
  <si>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</si>
  <si>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</si>
  <si>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</si>
  <si>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</si>
  <si>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</si>
  <si>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</si>
  <si>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</si>
  <si>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</si>
  <si>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</si>
  <si>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</si>
  <si>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</si>
  <si>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</si>
  <si>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</si>
  <si>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</si>
  <si>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</si>
  <si>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</si>
  <si>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</si>
  <si>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</si>
  <si>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</si>
  <si>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</si>
  <si>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</si>
  <si>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</si>
  <si>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</si>
  <si>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</si>
  <si>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</si>
  <si>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</si>
  <si>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</si>
  <si>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</si>
  <si>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</si>
  <si>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</si>
  <si>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</si>
  <si>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</si>
  <si>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</si>
  <si>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</si>
  <si>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</si>
  <si>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</si>
  <si>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</si>
  <si>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</si>
  <si>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</si>
  <si>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</si>
  <si>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</si>
  <si>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</si>
  <si>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</si>
  <si>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</si>
  <si>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</si>
  <si>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</si>
  <si>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</si>
  <si>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</si>
  <si>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</si>
  <si>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</si>
  <si>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</si>
  <si>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</si>
  <si>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</si>
  <si>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</si>
  <si>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</si>
  <si>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</si>
  <si>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</si>
  <si>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</si>
  <si>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</si>
  <si>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</si>
  <si>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</si>
  <si>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</si>
  <si>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</si>
  <si>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</si>
  <si>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</si>
  <si>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</si>
  <si>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</si>
  <si>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</si>
  <si>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</si>
  <si>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</si>
  <si>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</si>
  <si>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</si>
  <si>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</si>
  <si>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</si>
  <si>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</si>
  <si>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</si>
  <si>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</si>
  <si>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</si>
  <si>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</si>
  <si>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</si>
  <si>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</si>
  <si>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</si>
  <si>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</si>
  <si>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</si>
  <si>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</si>
  <si>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</si>
  <si>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</si>
  <si>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</si>
  <si>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</si>
  <si>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</si>
  <si>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</si>
  <si>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</si>
  <si>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</si>
  <si>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</si>
  <si>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</si>
  <si>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</si>
  <si>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</si>
  <si>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</si>
  <si>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</si>
  <si>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</si>
  <si>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</si>
  <si>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</si>
  <si>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</si>
  <si>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</si>
  <si>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</si>
  <si>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</si>
  <si>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</si>
  <si>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</si>
  <si>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</si>
  <si>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</si>
  <si>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</si>
  <si>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</si>
  <si>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</si>
  <si>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</si>
  <si>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</si>
  <si>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</si>
  <si>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</si>
  <si>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</si>
  <si>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</si>
  <si>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</si>
  <si>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</si>
  <si>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</si>
  <si>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</si>
  <si>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</si>
  <si>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</si>
  <si>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</si>
  <si>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</si>
  <si>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</si>
  <si>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</si>
  <si>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</si>
  <si>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</si>
  <si>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</si>
  <si>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</si>
  <si>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</si>
  <si>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</si>
  <si>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</si>
  <si>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</si>
  <si>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</si>
  <si>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</si>
  <si>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</si>
  <si>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</si>
  <si>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</si>
  <si>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</si>
  <si>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</si>
  <si>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</si>
  <si>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</si>
  <si>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</si>
  <si>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</si>
  <si>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</si>
  <si>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</si>
  <si>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</si>
  <si>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</si>
  <si>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</si>
  <si>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</si>
  <si>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</si>
  <si>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</si>
  <si>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PITTSFIELD SCHOOL DISTRICT</t>
  </si>
  <si>
    <t>12/99</t>
  </si>
  <si>
    <t>01/20</t>
  </si>
  <si>
    <t>CARPENTER TRUST</t>
  </si>
  <si>
    <t>Rounding Adustments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</si>
</sst>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28D9-4687-4470-93E3-F9D2373E1D0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439</v>
      </c>
      <c r="C2" s="21">
        <v>439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955716.14</v>
      </c>
      <c r="G9" s="18">
        <v>10088.209999999999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174716.63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110948.67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341441.65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60661.09</v>
      </c>
      <c r="G14" s="18">
        <v>23710.07</v>
      </c>
      <c r="H14" s="18">
        <v>112318.92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8802.08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1127325.9000000001</v>
      </c>
      <c r="G19" s="41">
        <f>SUM(G9:G18)</f>
        <v>42600.36</v>
      </c>
      <c r="H19" s="41">
        <f>SUM(H9:H18)</f>
        <v>112318.92</v>
      </c>
      <c r="I19" s="41">
        <f>SUM(I9:I18)</f>
        <v>0</v>
      </c>
      <c r="J19" s="41">
        <f>SUM(J9:J18)</f>
        <v>516158.28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3402.49</v>
      </c>
      <c r="G23" s="18">
        <v>13012.81</v>
      </c>
      <c r="H23" s="18">
        <v>97935.86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366124.2</v>
      </c>
      <c r="G25" s="18">
        <v>771.18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540155.49</v>
      </c>
      <c r="G29" s="18">
        <v>13706.28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12734.11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909682.17999999993</v>
      </c>
      <c r="G33" s="41">
        <f>SUM(G23:G32)</f>
        <v>27490.27</v>
      </c>
      <c r="H33" s="41">
        <f>SUM(H23:H32)</f>
        <v>110669.97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8802.08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129500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174716.63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6308.01</v>
      </c>
      <c r="H41" s="18">
        <v>1648.95</v>
      </c>
      <c r="I41" s="18"/>
      <c r="J41" s="13">
        <f>SUM(I449)</f>
        <v>341441.65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88143.72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217643.72</v>
      </c>
      <c r="G43" s="41">
        <f>SUM(G35:G42)</f>
        <v>15110.09</v>
      </c>
      <c r="H43" s="41">
        <f>SUM(H35:H42)</f>
        <v>1648.95</v>
      </c>
      <c r="I43" s="41">
        <f>SUM(I35:I42)</f>
        <v>0</v>
      </c>
      <c r="J43" s="41">
        <f>SUM(J35:J42)</f>
        <v>516158.28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1127325.8999999999</v>
      </c>
      <c r="G44" s="41">
        <f>G43+G33</f>
        <v>42600.36</v>
      </c>
      <c r="H44" s="41">
        <f>H43+H33</f>
        <v>112318.92</v>
      </c>
      <c r="I44" s="41">
        <f>I43+I33</f>
        <v>0</v>
      </c>
      <c r="J44" s="41">
        <f>J43+J33</f>
        <v>516158.28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4131101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4131101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550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30417.09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30967.09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726.19</v>
      </c>
      <c r="G88" s="18">
        <v>74.569999999999993</v>
      </c>
      <c r="H88" s="18"/>
      <c r="I88" s="18"/>
      <c r="J88" s="18">
        <v>5108.08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107876.72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9128.9599999999991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300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2168.04</v>
      </c>
      <c r="G102" s="18"/>
      <c r="H102" s="18">
        <v>7834.75</v>
      </c>
      <c r="I102" s="18"/>
      <c r="J102" s="18">
        <v>45297.63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3194.23</v>
      </c>
      <c r="G103" s="41">
        <f>SUM(G88:G102)</f>
        <v>107951.29000000001</v>
      </c>
      <c r="H103" s="41">
        <f>SUM(H88:H102)</f>
        <v>16963.71</v>
      </c>
      <c r="I103" s="41">
        <f>SUM(I88:I102)</f>
        <v>0</v>
      </c>
      <c r="J103" s="41">
        <f>SUM(J88:J102)</f>
        <v>50405.71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4165262.32</v>
      </c>
      <c r="G104" s="41">
        <f>G52+G103</f>
        <v>107951.29000000001</v>
      </c>
      <c r="H104" s="41">
        <f>H52+H71+H86+H103</f>
        <v>16963.71</v>
      </c>
      <c r="I104" s="41">
        <f>I52+I103</f>
        <v>0</v>
      </c>
      <c r="J104" s="41">
        <f>J52+J103</f>
        <v>50405.71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3053297.47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657261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1171454.53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4882013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95635.520000000004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298332.65999999997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3600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2877.95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4950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402518.18</v>
      </c>
      <c r="G128" s="41">
        <f>SUM(G115:G127)</f>
        <v>2877.95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18576.62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5284531.18</v>
      </c>
      <c r="G132" s="41">
        <f>G113+SUM(G128:G129)</f>
        <v>2877.95</v>
      </c>
      <c r="H132" s="41">
        <f>H113+SUM(H128:H131)</f>
        <v>18576.62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320432.90000000002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260943.06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137968.70000000001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278601.68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248121.5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13349.72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248121.5</v>
      </c>
      <c r="G154" s="41">
        <f>SUM(G142:G153)</f>
        <v>137968.70000000001</v>
      </c>
      <c r="H154" s="41">
        <f>SUM(H142:H153)</f>
        <v>873327.35999999987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248121.5</v>
      </c>
      <c r="G161" s="41">
        <f>G139+G154+SUM(G155:G160)</f>
        <v>137968.70000000001</v>
      </c>
      <c r="H161" s="41">
        <f>H139+H154+SUM(H155:H160)</f>
        <v>873327.35999999987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12000</v>
      </c>
      <c r="H171" s="18"/>
      <c r="I171" s="18"/>
      <c r="J171" s="18">
        <v>55000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5447.8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5447.8</v>
      </c>
      <c r="G175" s="41">
        <f>SUM(G171:G174)</f>
        <v>12000</v>
      </c>
      <c r="H175" s="41">
        <f>SUM(H171:H174)</f>
        <v>0</v>
      </c>
      <c r="I175" s="41">
        <f>SUM(I171:I174)</f>
        <v>0</v>
      </c>
      <c r="J175" s="41">
        <f>SUM(J171:J174)</f>
        <v>55000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14145.73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14145.73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19593.53</v>
      </c>
      <c r="G184" s="41">
        <f>G175+SUM(G180:G183)</f>
        <v>12000</v>
      </c>
      <c r="H184" s="41">
        <f>+H175+SUM(H180:H183)</f>
        <v>0</v>
      </c>
      <c r="I184" s="41">
        <f>I169+I175+SUM(I180:I183)</f>
        <v>0</v>
      </c>
      <c r="J184" s="41">
        <f>J175</f>
        <v>55000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9717508.5299999993</v>
      </c>
      <c r="G185" s="47">
        <f>G104+G132+G161+G184</f>
        <v>260797.94</v>
      </c>
      <c r="H185" s="47">
        <f>H104+H132+H161+H184</f>
        <v>908867.68999999983</v>
      </c>
      <c r="I185" s="47">
        <f>I104+I132+I161+I184</f>
        <v>0</v>
      </c>
      <c r="J185" s="47">
        <f>J104+J132+J184</f>
        <v>105405.70999999999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1026825.38</v>
      </c>
      <c r="G189" s="18">
        <v>369607.1</v>
      </c>
      <c r="H189" s="18">
        <v>6301.23</v>
      </c>
      <c r="I189" s="18">
        <v>42082.23</v>
      </c>
      <c r="J189" s="18">
        <v>2180.12</v>
      </c>
      <c r="K189" s="18">
        <v>8985.3799999999992</v>
      </c>
      <c r="L189" s="19">
        <f>SUM(F189:K189)</f>
        <v>1455981.44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630258.31999999995</v>
      </c>
      <c r="G190" s="18">
        <v>190129.98</v>
      </c>
      <c r="H190" s="18">
        <v>82220.759999999995</v>
      </c>
      <c r="I190" s="18">
        <v>2120.66</v>
      </c>
      <c r="J190" s="18"/>
      <c r="K190" s="18">
        <v>1218.9000000000001</v>
      </c>
      <c r="L190" s="19">
        <f>SUM(F190:K190)</f>
        <v>905948.62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>
        <v>23.5</v>
      </c>
      <c r="J192" s="18"/>
      <c r="K192" s="18"/>
      <c r="L192" s="19">
        <f>SUM(F192:K192)</f>
        <v>23.5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227033.82</v>
      </c>
      <c r="G194" s="18">
        <v>93434.26</v>
      </c>
      <c r="H194" s="18">
        <v>65863.98</v>
      </c>
      <c r="I194" s="18">
        <v>2191.61</v>
      </c>
      <c r="J194" s="18"/>
      <c r="K194" s="18">
        <v>40</v>
      </c>
      <c r="L194" s="19">
        <f t="shared" ref="L194:L200" si="0">SUM(F194:K194)</f>
        <v>388563.67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46998.57</v>
      </c>
      <c r="G195" s="18">
        <v>9500.73</v>
      </c>
      <c r="H195" s="18">
        <v>36080.19</v>
      </c>
      <c r="I195" s="18">
        <v>10173.86</v>
      </c>
      <c r="J195" s="18">
        <v>25125.75</v>
      </c>
      <c r="K195" s="18">
        <v>5047.75</v>
      </c>
      <c r="L195" s="19">
        <f t="shared" si="0"/>
        <v>132926.85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108790</v>
      </c>
      <c r="G196" s="18">
        <v>51640.85</v>
      </c>
      <c r="H196" s="18">
        <v>41671.279999999999</v>
      </c>
      <c r="I196" s="18">
        <v>3433.77</v>
      </c>
      <c r="J196" s="18">
        <v>2851.75</v>
      </c>
      <c r="K196" s="18">
        <v>3143.22</v>
      </c>
      <c r="L196" s="19">
        <f t="shared" si="0"/>
        <v>211530.87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238521.09</v>
      </c>
      <c r="G197" s="18">
        <v>92584.21</v>
      </c>
      <c r="H197" s="18">
        <v>17449.13</v>
      </c>
      <c r="I197" s="18">
        <v>2242.39</v>
      </c>
      <c r="J197" s="18"/>
      <c r="K197" s="18">
        <v>1413.38</v>
      </c>
      <c r="L197" s="19">
        <f t="shared" si="0"/>
        <v>352210.2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96085.13</v>
      </c>
      <c r="G199" s="18">
        <v>45223.72</v>
      </c>
      <c r="H199" s="18">
        <v>95007.94</v>
      </c>
      <c r="I199" s="18">
        <v>95702.61</v>
      </c>
      <c r="J199" s="18">
        <v>5121</v>
      </c>
      <c r="K199" s="18"/>
      <c r="L199" s="19">
        <f t="shared" si="0"/>
        <v>337140.4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127964.64</v>
      </c>
      <c r="I200" s="18"/>
      <c r="J200" s="18"/>
      <c r="K200" s="18"/>
      <c r="L200" s="19">
        <f t="shared" si="0"/>
        <v>127964.64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2374512.31</v>
      </c>
      <c r="G203" s="41">
        <f t="shared" si="1"/>
        <v>852120.84999999986</v>
      </c>
      <c r="H203" s="41">
        <f t="shared" si="1"/>
        <v>472559.15</v>
      </c>
      <c r="I203" s="41">
        <f t="shared" si="1"/>
        <v>157970.63</v>
      </c>
      <c r="J203" s="41">
        <f t="shared" si="1"/>
        <v>35278.619999999995</v>
      </c>
      <c r="K203" s="41">
        <f t="shared" si="1"/>
        <v>19848.63</v>
      </c>
      <c r="L203" s="41">
        <f t="shared" si="1"/>
        <v>3912290.1900000004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354736.03</v>
      </c>
      <c r="G207" s="18">
        <v>145964.48000000001</v>
      </c>
      <c r="H207" s="18">
        <v>176.84</v>
      </c>
      <c r="I207" s="18">
        <v>17357.63</v>
      </c>
      <c r="J207" s="18"/>
      <c r="K207" s="18">
        <v>38.57</v>
      </c>
      <c r="L207" s="19">
        <f>SUM(F207:K207)</f>
        <v>518273.55000000005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195210.19</v>
      </c>
      <c r="G208" s="18">
        <v>51378.52</v>
      </c>
      <c r="H208" s="18">
        <v>183085.96</v>
      </c>
      <c r="I208" s="18">
        <v>837.81</v>
      </c>
      <c r="J208" s="18"/>
      <c r="K208" s="18">
        <v>399.4</v>
      </c>
      <c r="L208" s="19">
        <f>SUM(F208:K208)</f>
        <v>430911.88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16235</v>
      </c>
      <c r="G210" s="18">
        <v>2173.75</v>
      </c>
      <c r="H210" s="18">
        <v>5940.17</v>
      </c>
      <c r="I210" s="18">
        <v>3155.24</v>
      </c>
      <c r="J210" s="18"/>
      <c r="K210" s="18">
        <v>2001.35</v>
      </c>
      <c r="L210" s="19">
        <f>SUM(F210:K210)</f>
        <v>29505.509999999995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112336.65</v>
      </c>
      <c r="G212" s="18">
        <v>37433.54</v>
      </c>
      <c r="H212" s="18">
        <v>7353.61</v>
      </c>
      <c r="I212" s="18">
        <v>626.66</v>
      </c>
      <c r="J212" s="18"/>
      <c r="K212" s="18">
        <v>77</v>
      </c>
      <c r="L212" s="19">
        <f t="shared" ref="L212:L218" si="2">SUM(F212:K212)</f>
        <v>157827.46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31274.48</v>
      </c>
      <c r="G213" s="18">
        <v>9489.56</v>
      </c>
      <c r="H213" s="18">
        <v>26007.03</v>
      </c>
      <c r="I213" s="18">
        <v>8868.44</v>
      </c>
      <c r="J213" s="18">
        <v>15107.31</v>
      </c>
      <c r="K213" s="18">
        <v>2308.8200000000002</v>
      </c>
      <c r="L213" s="19">
        <f t="shared" si="2"/>
        <v>93055.640000000014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29670</v>
      </c>
      <c r="G214" s="18">
        <v>14087.53</v>
      </c>
      <c r="H214" s="18">
        <v>11364.88</v>
      </c>
      <c r="I214" s="18">
        <v>936.47</v>
      </c>
      <c r="J214" s="18">
        <v>777.75</v>
      </c>
      <c r="K214" s="18">
        <v>857.24</v>
      </c>
      <c r="L214" s="19">
        <f t="shared" si="2"/>
        <v>57693.869999999995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68421.990000000005</v>
      </c>
      <c r="G215" s="18">
        <v>18182.57</v>
      </c>
      <c r="H215" s="18">
        <v>52904.160000000003</v>
      </c>
      <c r="I215" s="18">
        <v>1757.97</v>
      </c>
      <c r="J215" s="18"/>
      <c r="K215" s="18">
        <v>2008.75</v>
      </c>
      <c r="L215" s="19">
        <f t="shared" si="2"/>
        <v>143275.44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41646.53</v>
      </c>
      <c r="G217" s="18">
        <v>20656.86</v>
      </c>
      <c r="H217" s="18">
        <v>89736.57</v>
      </c>
      <c r="I217" s="18">
        <v>51107.37</v>
      </c>
      <c r="J217" s="18">
        <v>8918</v>
      </c>
      <c r="K217" s="18"/>
      <c r="L217" s="19">
        <f t="shared" si="2"/>
        <v>212065.33000000002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142228.68</v>
      </c>
      <c r="I218" s="18"/>
      <c r="J218" s="18"/>
      <c r="K218" s="18"/>
      <c r="L218" s="19">
        <f t="shared" si="2"/>
        <v>142228.68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849530.87</v>
      </c>
      <c r="G221" s="41">
        <f>SUM(G207:G220)</f>
        <v>299366.81</v>
      </c>
      <c r="H221" s="41">
        <f>SUM(H207:H220)</f>
        <v>518797.9</v>
      </c>
      <c r="I221" s="41">
        <f>SUM(I207:I220)</f>
        <v>84647.59</v>
      </c>
      <c r="J221" s="41">
        <f>SUM(J207:J220)</f>
        <v>24803.059999999998</v>
      </c>
      <c r="K221" s="41">
        <f t="shared" si="3"/>
        <v>7691.1299999999992</v>
      </c>
      <c r="L221" s="41">
        <f t="shared" si="3"/>
        <v>1784837.36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756692.76</v>
      </c>
      <c r="G225" s="18">
        <v>303113.39</v>
      </c>
      <c r="H225" s="18">
        <v>9649.18</v>
      </c>
      <c r="I225" s="18">
        <v>44755.38</v>
      </c>
      <c r="J225" s="18">
        <v>1150</v>
      </c>
      <c r="K225" s="18">
        <v>961.49</v>
      </c>
      <c r="L225" s="19">
        <f>SUM(F225:K225)</f>
        <v>1116322.1999999997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299312.61</v>
      </c>
      <c r="G226" s="18">
        <v>102777.83</v>
      </c>
      <c r="H226" s="18">
        <v>542383.62</v>
      </c>
      <c r="I226" s="18">
        <v>5188.6000000000004</v>
      </c>
      <c r="J226" s="18"/>
      <c r="K226" s="18">
        <v>599.1</v>
      </c>
      <c r="L226" s="19">
        <f>SUM(F226:K226)</f>
        <v>950261.76000000001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9204.64</v>
      </c>
      <c r="I227" s="18"/>
      <c r="J227" s="18"/>
      <c r="K227" s="18"/>
      <c r="L227" s="19">
        <f>SUM(F227:K227)</f>
        <v>9204.64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37890</v>
      </c>
      <c r="G228" s="18">
        <v>4722.9799999999996</v>
      </c>
      <c r="H228" s="18">
        <v>13251.53</v>
      </c>
      <c r="I228" s="18">
        <v>8574.59</v>
      </c>
      <c r="J228" s="18"/>
      <c r="K228" s="18">
        <v>3818.65</v>
      </c>
      <c r="L228" s="19">
        <f>SUM(F228:K228)</f>
        <v>68257.749999999985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138284.03</v>
      </c>
      <c r="G230" s="18">
        <v>66655.34</v>
      </c>
      <c r="H230" s="18">
        <v>41521.620000000003</v>
      </c>
      <c r="I230" s="18">
        <v>1696.14</v>
      </c>
      <c r="J230" s="18"/>
      <c r="K230" s="18">
        <v>143</v>
      </c>
      <c r="L230" s="19">
        <f t="shared" ref="L230:L236" si="4">SUM(F230:K230)</f>
        <v>248300.13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65996.94</v>
      </c>
      <c r="G231" s="18">
        <v>24743.38</v>
      </c>
      <c r="H231" s="18">
        <v>49476.91</v>
      </c>
      <c r="I231" s="18">
        <v>15808.82</v>
      </c>
      <c r="J231" s="18">
        <v>28154.5</v>
      </c>
      <c r="K231" s="18">
        <v>4263.93</v>
      </c>
      <c r="L231" s="19">
        <f t="shared" si="4"/>
        <v>188444.48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59340</v>
      </c>
      <c r="G232" s="18">
        <v>28154.92</v>
      </c>
      <c r="H232" s="18">
        <v>22729.78</v>
      </c>
      <c r="I232" s="18">
        <v>1872.98</v>
      </c>
      <c r="J232" s="18">
        <v>1555.5</v>
      </c>
      <c r="K232" s="18">
        <v>1714.49</v>
      </c>
      <c r="L232" s="19">
        <f t="shared" si="4"/>
        <v>115367.67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126573.87</v>
      </c>
      <c r="G233" s="18">
        <v>34578.620000000003</v>
      </c>
      <c r="H233" s="18">
        <v>100540.43</v>
      </c>
      <c r="I233" s="18">
        <v>4972.1099999999997</v>
      </c>
      <c r="J233" s="18"/>
      <c r="K233" s="18">
        <v>4041.31</v>
      </c>
      <c r="L233" s="19">
        <f t="shared" si="4"/>
        <v>270706.33999999997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77555.62</v>
      </c>
      <c r="G235" s="18">
        <v>40020.81</v>
      </c>
      <c r="H235" s="18">
        <v>154028.76</v>
      </c>
      <c r="I235" s="18">
        <v>95953.63</v>
      </c>
      <c r="J235" s="18">
        <v>16673.349999999999</v>
      </c>
      <c r="K235" s="18"/>
      <c r="L235" s="19">
        <f t="shared" si="4"/>
        <v>384232.17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230749.38</v>
      </c>
      <c r="I236" s="18"/>
      <c r="J236" s="18"/>
      <c r="K236" s="18"/>
      <c r="L236" s="19">
        <f t="shared" si="4"/>
        <v>230749.38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1561645.83</v>
      </c>
      <c r="G239" s="41">
        <f t="shared" si="5"/>
        <v>604767.27</v>
      </c>
      <c r="H239" s="41">
        <f t="shared" si="5"/>
        <v>1173535.8500000001</v>
      </c>
      <c r="I239" s="41">
        <f t="shared" si="5"/>
        <v>178822.25</v>
      </c>
      <c r="J239" s="41">
        <f t="shared" si="5"/>
        <v>47533.35</v>
      </c>
      <c r="K239" s="41">
        <f t="shared" si="5"/>
        <v>15541.97</v>
      </c>
      <c r="L239" s="41">
        <f t="shared" si="5"/>
        <v>3581846.5199999991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7943.13</v>
      </c>
      <c r="G242" s="18">
        <v>1251.52</v>
      </c>
      <c r="H242" s="18"/>
      <c r="I242" s="18">
        <v>600</v>
      </c>
      <c r="J242" s="18"/>
      <c r="K242" s="18"/>
      <c r="L242" s="19">
        <f t="shared" ref="L242:L247" si="6">SUM(F242:K242)</f>
        <v>9794.65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7943.13</v>
      </c>
      <c r="G248" s="41">
        <f t="shared" si="7"/>
        <v>1251.52</v>
      </c>
      <c r="H248" s="41">
        <f t="shared" si="7"/>
        <v>0</v>
      </c>
      <c r="I248" s="41">
        <f t="shared" si="7"/>
        <v>600</v>
      </c>
      <c r="J248" s="41">
        <f t="shared" si="7"/>
        <v>0</v>
      </c>
      <c r="K248" s="41">
        <f t="shared" si="7"/>
        <v>0</v>
      </c>
      <c r="L248" s="41">
        <f>SUM(F248:K248)</f>
        <v>9794.65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4793632.1399999997</v>
      </c>
      <c r="G249" s="41">
        <f t="shared" si="8"/>
        <v>1757506.45</v>
      </c>
      <c r="H249" s="41">
        <f t="shared" si="8"/>
        <v>2164892.9000000004</v>
      </c>
      <c r="I249" s="41">
        <f t="shared" si="8"/>
        <v>422040.47</v>
      </c>
      <c r="J249" s="41">
        <f t="shared" si="8"/>
        <v>107615.03</v>
      </c>
      <c r="K249" s="41">
        <f t="shared" si="8"/>
        <v>43081.73</v>
      </c>
      <c r="L249" s="41">
        <f t="shared" si="8"/>
        <v>9288768.7200000007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265000</v>
      </c>
      <c r="L252" s="19">
        <f>SUM(F252:K252)</f>
        <v>265000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162908.76</v>
      </c>
      <c r="L253" s="19">
        <f>SUM(F253:K253)</f>
        <v>162908.76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12000</v>
      </c>
      <c r="L255" s="19">
        <f>SUM(F255:K255)</f>
        <v>12000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</v>
      </c>
      <c r="L258" s="19">
        <f t="shared" si="9"/>
        <v>55000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494908.76</v>
      </c>
      <c r="L262" s="41">
        <f t="shared" si="9"/>
        <v>494908.76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4793632.1399999997</v>
      </c>
      <c r="G263" s="42">
        <f t="shared" si="11"/>
        <v>1757506.45</v>
      </c>
      <c r="H263" s="42">
        <f t="shared" si="11"/>
        <v>2164892.9000000004</v>
      </c>
      <c r="I263" s="42">
        <f t="shared" si="11"/>
        <v>422040.47</v>
      </c>
      <c r="J263" s="42">
        <f t="shared" si="11"/>
        <v>107615.03</v>
      </c>
      <c r="K263" s="42">
        <f t="shared" si="11"/>
        <v>537990.49</v>
      </c>
      <c r="L263" s="42">
        <f t="shared" si="11"/>
        <v>9783677.4800000004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187924.66</v>
      </c>
      <c r="G268" s="18">
        <v>50753.97</v>
      </c>
      <c r="H268" s="18">
        <v>98124.82</v>
      </c>
      <c r="I268" s="18">
        <v>11224.24</v>
      </c>
      <c r="J268" s="18">
        <v>3533.02</v>
      </c>
      <c r="K268" s="18">
        <v>340</v>
      </c>
      <c r="L268" s="19">
        <f>SUM(F268:K268)</f>
        <v>351900.71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34134.03</v>
      </c>
      <c r="G269" s="18">
        <v>5199.55</v>
      </c>
      <c r="H269" s="18">
        <v>5632.38</v>
      </c>
      <c r="I269" s="18">
        <v>14440.19</v>
      </c>
      <c r="J269" s="18">
        <v>16867.34</v>
      </c>
      <c r="K269" s="18"/>
      <c r="L269" s="19">
        <f>SUM(F269:K269)</f>
        <v>76273.490000000005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3300</v>
      </c>
      <c r="G271" s="18">
        <v>329.73</v>
      </c>
      <c r="H271" s="18"/>
      <c r="I271" s="18"/>
      <c r="J271" s="18"/>
      <c r="K271" s="18"/>
      <c r="L271" s="19">
        <f>SUM(F271:K271)</f>
        <v>3629.73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30736.54</v>
      </c>
      <c r="G273" s="18">
        <v>11640.69</v>
      </c>
      <c r="H273" s="18"/>
      <c r="I273" s="18">
        <v>585.05999999999995</v>
      </c>
      <c r="J273" s="18"/>
      <c r="K273" s="18"/>
      <c r="L273" s="19">
        <f t="shared" ref="L273:L279" si="12">SUM(F273:K273)</f>
        <v>42962.29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29526.15</v>
      </c>
      <c r="G274" s="18">
        <v>14771.81</v>
      </c>
      <c r="H274" s="18">
        <v>84034.98</v>
      </c>
      <c r="I274" s="18">
        <v>1663.73</v>
      </c>
      <c r="J274" s="18">
        <v>1458</v>
      </c>
      <c r="K274" s="18"/>
      <c r="L274" s="19">
        <f t="shared" si="12"/>
        <v>131454.66999999998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10140</v>
      </c>
      <c r="G276" s="18">
        <v>3401.75</v>
      </c>
      <c r="H276" s="18"/>
      <c r="I276" s="18"/>
      <c r="J276" s="18"/>
      <c r="K276" s="18"/>
      <c r="L276" s="19">
        <f t="shared" si="12"/>
        <v>13541.75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6674.86</v>
      </c>
      <c r="I278" s="18"/>
      <c r="J278" s="18">
        <v>13133.95</v>
      </c>
      <c r="K278" s="18"/>
      <c r="L278" s="19">
        <f t="shared" si="12"/>
        <v>19808.810000000001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6616.8</v>
      </c>
      <c r="I279" s="18"/>
      <c r="J279" s="18"/>
      <c r="K279" s="18"/>
      <c r="L279" s="19">
        <f t="shared" si="12"/>
        <v>6616.8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295761.38</v>
      </c>
      <c r="G282" s="42">
        <f t="shared" si="13"/>
        <v>86097.5</v>
      </c>
      <c r="H282" s="42">
        <f t="shared" si="13"/>
        <v>201083.83999999997</v>
      </c>
      <c r="I282" s="42">
        <f t="shared" si="13"/>
        <v>27913.22</v>
      </c>
      <c r="J282" s="42">
        <f t="shared" si="13"/>
        <v>34992.31</v>
      </c>
      <c r="K282" s="42">
        <f t="shared" si="13"/>
        <v>340</v>
      </c>
      <c r="L282" s="41">
        <f t="shared" si="13"/>
        <v>646188.25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17423.5</v>
      </c>
      <c r="G288" s="18">
        <v>3709.69</v>
      </c>
      <c r="H288" s="18">
        <v>2059.16</v>
      </c>
      <c r="I288" s="18">
        <v>1402.01</v>
      </c>
      <c r="J288" s="18">
        <v>3495.31</v>
      </c>
      <c r="K288" s="18"/>
      <c r="L288" s="19">
        <f>SUM(F288:K288)</f>
        <v>28089.67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2835</v>
      </c>
      <c r="I290" s="18"/>
      <c r="J290" s="18"/>
      <c r="K290" s="18"/>
      <c r="L290" s="19">
        <f>SUM(F290:K290)</f>
        <v>2835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9474.39</v>
      </c>
      <c r="G292" s="18">
        <v>3951.4</v>
      </c>
      <c r="H292" s="18">
        <v>2284.8000000000002</v>
      </c>
      <c r="I292" s="18">
        <v>1934.11</v>
      </c>
      <c r="J292" s="18"/>
      <c r="K292" s="18"/>
      <c r="L292" s="19">
        <f t="shared" ref="L292:L298" si="14">SUM(F292:K292)</f>
        <v>17644.7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3468.75</v>
      </c>
      <c r="G293" s="18">
        <v>419.89</v>
      </c>
      <c r="H293" s="18">
        <v>3675.5</v>
      </c>
      <c r="I293" s="18">
        <v>16</v>
      </c>
      <c r="J293" s="18">
        <v>2497.6</v>
      </c>
      <c r="K293" s="18"/>
      <c r="L293" s="19">
        <f t="shared" si="14"/>
        <v>10077.74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v>2402.9499999999998</v>
      </c>
      <c r="I297" s="18"/>
      <c r="J297" s="18">
        <v>7320.93</v>
      </c>
      <c r="K297" s="18"/>
      <c r="L297" s="19">
        <f t="shared" si="14"/>
        <v>9723.880000000001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30366.639999999999</v>
      </c>
      <c r="G301" s="42">
        <f t="shared" si="15"/>
        <v>8080.9800000000005</v>
      </c>
      <c r="H301" s="42">
        <f t="shared" si="15"/>
        <v>13257.41</v>
      </c>
      <c r="I301" s="42">
        <f t="shared" si="15"/>
        <v>3352.12</v>
      </c>
      <c r="J301" s="42">
        <f t="shared" si="15"/>
        <v>13313.84</v>
      </c>
      <c r="K301" s="42">
        <f t="shared" si="15"/>
        <v>0</v>
      </c>
      <c r="L301" s="41">
        <f t="shared" si="15"/>
        <v>68370.989999999991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53025.120000000003</v>
      </c>
      <c r="G307" s="18">
        <v>12489.32</v>
      </c>
      <c r="H307" s="18">
        <v>14938.82</v>
      </c>
      <c r="I307" s="18">
        <v>3826.15</v>
      </c>
      <c r="J307" s="18">
        <v>6213.88</v>
      </c>
      <c r="K307" s="18"/>
      <c r="L307" s="19">
        <f>SUM(F307:K307)</f>
        <v>90493.290000000008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5265</v>
      </c>
      <c r="I309" s="18"/>
      <c r="J309" s="18"/>
      <c r="K309" s="18"/>
      <c r="L309" s="19">
        <f>SUM(F309:K309)</f>
        <v>5265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33370.230000000003</v>
      </c>
      <c r="G311" s="18">
        <v>8240.3700000000008</v>
      </c>
      <c r="H311" s="18">
        <v>4995.2</v>
      </c>
      <c r="I311" s="18">
        <v>3670.01</v>
      </c>
      <c r="J311" s="18"/>
      <c r="K311" s="18"/>
      <c r="L311" s="19">
        <f t="shared" ref="L311:L317" si="16">SUM(F311:K311)</f>
        <v>50275.810000000005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1693.75</v>
      </c>
      <c r="G312" s="18">
        <v>234.9</v>
      </c>
      <c r="H312" s="18">
        <v>3512</v>
      </c>
      <c r="I312" s="18">
        <v>970.82</v>
      </c>
      <c r="J312" s="18">
        <v>10462.4</v>
      </c>
      <c r="K312" s="18"/>
      <c r="L312" s="19">
        <f t="shared" si="16"/>
        <v>16873.87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250</v>
      </c>
      <c r="I314" s="18"/>
      <c r="J314" s="18"/>
      <c r="K314" s="18"/>
      <c r="L314" s="19">
        <f t="shared" si="16"/>
        <v>250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4271.91</v>
      </c>
      <c r="I316" s="18"/>
      <c r="J316" s="18">
        <v>13596.02</v>
      </c>
      <c r="K316" s="18"/>
      <c r="L316" s="19">
        <f t="shared" si="16"/>
        <v>17867.93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88089.1</v>
      </c>
      <c r="G320" s="42">
        <f t="shared" si="17"/>
        <v>20964.590000000004</v>
      </c>
      <c r="H320" s="42">
        <f t="shared" si="17"/>
        <v>33232.93</v>
      </c>
      <c r="I320" s="42">
        <f t="shared" si="17"/>
        <v>8466.98</v>
      </c>
      <c r="J320" s="42">
        <f t="shared" si="17"/>
        <v>30272.3</v>
      </c>
      <c r="K320" s="42">
        <f t="shared" si="17"/>
        <v>0</v>
      </c>
      <c r="L320" s="41">
        <f t="shared" si="17"/>
        <v>181025.9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15742.55</v>
      </c>
      <c r="I327" s="18">
        <v>140</v>
      </c>
      <c r="J327" s="18"/>
      <c r="K327" s="18"/>
      <c r="L327" s="19">
        <f t="shared" si="18"/>
        <v>15882.55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15742.55</v>
      </c>
      <c r="I329" s="41">
        <f t="shared" si="19"/>
        <v>140</v>
      </c>
      <c r="J329" s="41">
        <f t="shared" si="19"/>
        <v>0</v>
      </c>
      <c r="K329" s="41">
        <f t="shared" si="19"/>
        <v>0</v>
      </c>
      <c r="L329" s="41">
        <f t="shared" si="18"/>
        <v>15882.55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414217.12</v>
      </c>
      <c r="G330" s="41">
        <f t="shared" si="20"/>
        <v>115143.07</v>
      </c>
      <c r="H330" s="41">
        <f t="shared" si="20"/>
        <v>263316.73</v>
      </c>
      <c r="I330" s="41">
        <f t="shared" si="20"/>
        <v>39872.32</v>
      </c>
      <c r="J330" s="41">
        <f t="shared" si="20"/>
        <v>78578.45</v>
      </c>
      <c r="K330" s="41">
        <f t="shared" si="20"/>
        <v>340</v>
      </c>
      <c r="L330" s="41">
        <f t="shared" si="20"/>
        <v>911467.69000000006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5447.8</v>
      </c>
      <c r="L336" s="19">
        <f t="shared" ref="L336:L342" si="21">SUM(F336:K336)</f>
        <v>5447.8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5447.8</v>
      </c>
      <c r="L343" s="41">
        <f>SUM(L333:L342)</f>
        <v>5447.8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414217.12</v>
      </c>
      <c r="G344" s="41">
        <f>G330</f>
        <v>115143.07</v>
      </c>
      <c r="H344" s="41">
        <f>H330</f>
        <v>263316.73</v>
      </c>
      <c r="I344" s="41">
        <f>I330</f>
        <v>39872.32</v>
      </c>
      <c r="J344" s="41">
        <f>J330</f>
        <v>78578.45</v>
      </c>
      <c r="K344" s="47">
        <f>K330+K343</f>
        <v>5787.8</v>
      </c>
      <c r="L344" s="41">
        <f>L330+L343</f>
        <v>916915.49000000011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40983.97</v>
      </c>
      <c r="G350" s="18">
        <v>5264.29</v>
      </c>
      <c r="H350" s="18">
        <v>2332.0300000000002</v>
      </c>
      <c r="I350" s="18">
        <v>63137.279999999999</v>
      </c>
      <c r="J350" s="18"/>
      <c r="K350" s="18">
        <v>66.150000000000006</v>
      </c>
      <c r="L350" s="13">
        <f>SUM(F350:K350)</f>
        <v>111783.72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20201.62</v>
      </c>
      <c r="G351" s="18">
        <v>2835.82</v>
      </c>
      <c r="H351" s="18">
        <v>808.18</v>
      </c>
      <c r="I351" s="18">
        <v>20616.25</v>
      </c>
      <c r="J351" s="18"/>
      <c r="K351" s="18">
        <v>21.6</v>
      </c>
      <c r="L351" s="19">
        <f>SUM(F351:K351)</f>
        <v>44483.469999999994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37527.14</v>
      </c>
      <c r="G352" s="18">
        <v>5214.55</v>
      </c>
      <c r="H352" s="18">
        <v>1533.67</v>
      </c>
      <c r="I352" s="18">
        <v>45098.05</v>
      </c>
      <c r="J352" s="18"/>
      <c r="K352" s="18">
        <v>47.25</v>
      </c>
      <c r="L352" s="19">
        <f>SUM(F352:K352)</f>
        <v>89420.66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98712.73</v>
      </c>
      <c r="G354" s="47">
        <f t="shared" si="22"/>
        <v>13314.66</v>
      </c>
      <c r="H354" s="47">
        <f t="shared" si="22"/>
        <v>4673.88</v>
      </c>
      <c r="I354" s="47">
        <f t="shared" si="22"/>
        <v>128851.58</v>
      </c>
      <c r="J354" s="47">
        <f t="shared" si="22"/>
        <v>0</v>
      </c>
      <c r="K354" s="47">
        <f t="shared" si="22"/>
        <v>135</v>
      </c>
      <c r="L354" s="47">
        <f t="shared" si="22"/>
        <v>245687.85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58354.59</v>
      </c>
      <c r="G359" s="18">
        <v>19054.560000000001</v>
      </c>
      <c r="H359" s="18">
        <v>41681.85</v>
      </c>
      <c r="I359" s="56">
        <f>SUM(F359:H359)</f>
        <v>119091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4782.6899999999996</v>
      </c>
      <c r="G360" s="63">
        <v>1561.69</v>
      </c>
      <c r="H360" s="63">
        <v>3416.2</v>
      </c>
      <c r="I360" s="56">
        <f>SUM(F360:H360)</f>
        <v>9760.5799999999981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63137.279999999999</v>
      </c>
      <c r="G361" s="47">
        <f>SUM(G359:G360)</f>
        <v>20616.25</v>
      </c>
      <c r="H361" s="47">
        <f>SUM(H359:H360)</f>
        <v>45098.049999999996</v>
      </c>
      <c r="I361" s="47">
        <f>SUM(I359:I360)</f>
        <v>128851.58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34.299999999999997</v>
      </c>
      <c r="I380" s="18"/>
      <c r="J380" s="24" t="s">
        <v>312</v>
      </c>
      <c r="K380" s="24" t="s">
        <v>312</v>
      </c>
      <c r="L380" s="56">
        <f t="shared" si="25"/>
        <v>34.299999999999997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43.69</v>
      </c>
      <c r="I383" s="18"/>
      <c r="J383" s="24" t="s">
        <v>312</v>
      </c>
      <c r="K383" s="24" t="s">
        <v>312</v>
      </c>
      <c r="L383" s="56">
        <f t="shared" si="25"/>
        <v>43.69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20000</v>
      </c>
      <c r="H384" s="18">
        <v>393.53</v>
      </c>
      <c r="I384" s="18"/>
      <c r="J384" s="24" t="s">
        <v>312</v>
      </c>
      <c r="K384" s="24" t="s">
        <v>312</v>
      </c>
      <c r="L384" s="56">
        <f t="shared" si="25"/>
        <v>20393.53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20000</v>
      </c>
      <c r="H385" s="139">
        <f>SUM(H379:H384)</f>
        <v>471.52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20471.52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35000</v>
      </c>
      <c r="H388" s="18">
        <v>430.97</v>
      </c>
      <c r="I388" s="18"/>
      <c r="J388" s="24" t="s">
        <v>312</v>
      </c>
      <c r="K388" s="24" t="s">
        <v>312</v>
      </c>
      <c r="L388" s="56">
        <f t="shared" si="26"/>
        <v>35430.97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35000</v>
      </c>
      <c r="H393" s="47">
        <f>SUM(H387:H392)</f>
        <v>430.97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35430.97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897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4205.59</v>
      </c>
      <c r="I395" s="18">
        <v>45297.63</v>
      </c>
      <c r="J395" s="24" t="s">
        <v>312</v>
      </c>
      <c r="K395" s="24" t="s">
        <v>312</v>
      </c>
      <c r="L395" s="56">
        <f>SUM(F395:K395)</f>
        <v>49503.22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4205.59</v>
      </c>
      <c r="I399" s="47">
        <f>SUM(I395:I398)</f>
        <v>45297.63</v>
      </c>
      <c r="J399" s="49" t="s">
        <v>312</v>
      </c>
      <c r="K399" s="49" t="s">
        <v>312</v>
      </c>
      <c r="L399" s="47">
        <f>SUM(L395:L398)</f>
        <v>49503.22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</v>
      </c>
      <c r="H400" s="47">
        <f>H385+H393+H399</f>
        <v>5108.08</v>
      </c>
      <c r="I400" s="47">
        <f>I385+I393+I399</f>
        <v>45297.63</v>
      </c>
      <c r="J400" s="24" t="s">
        <v>312</v>
      </c>
      <c r="K400" s="24" t="s">
        <v>312</v>
      </c>
      <c r="L400" s="47">
        <f>L385+L393+L399</f>
        <v>105405.71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14145.73</v>
      </c>
      <c r="L406" s="56">
        <f t="shared" si="27"/>
        <v>14145.73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14145.73</v>
      </c>
      <c r="L411" s="47">
        <f t="shared" si="28"/>
        <v>14145.73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897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>
        <v>3646.68</v>
      </c>
      <c r="J421" s="18"/>
      <c r="K421" s="18">
        <v>7834.75</v>
      </c>
      <c r="L421" s="56">
        <f>SUM(F421:K421)</f>
        <v>11481.43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3646.68</v>
      </c>
      <c r="J425" s="47">
        <f t="shared" si="31"/>
        <v>0</v>
      </c>
      <c r="K425" s="47">
        <f t="shared" si="31"/>
        <v>7834.75</v>
      </c>
      <c r="L425" s="47">
        <f t="shared" si="31"/>
        <v>11481.43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3646.68</v>
      </c>
      <c r="J426" s="47">
        <f t="shared" si="32"/>
        <v>0</v>
      </c>
      <c r="K426" s="47">
        <f t="shared" si="32"/>
        <v>21980.48</v>
      </c>
      <c r="L426" s="47">
        <f t="shared" si="32"/>
        <v>25627.16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174716.63</v>
      </c>
      <c r="I432" s="56">
        <f t="shared" si="33"/>
        <v>174716.63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341441.65</v>
      </c>
      <c r="G434" s="18"/>
      <c r="H434" s="18"/>
      <c r="I434" s="56">
        <f t="shared" si="33"/>
        <v>341441.65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341441.65</v>
      </c>
      <c r="G438" s="13">
        <f>SUM(G431:G437)</f>
        <v>0</v>
      </c>
      <c r="H438" s="13">
        <f>SUM(H431:H437)</f>
        <v>174716.63</v>
      </c>
      <c r="I438" s="13">
        <f>SUM(I431:I437)</f>
        <v>516158.28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>
        <v>174716.63</v>
      </c>
      <c r="I448" s="56">
        <f>SUM(F448:H448)</f>
        <v>174716.63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341441.65</v>
      </c>
      <c r="G449" s="18"/>
      <c r="H449" s="18"/>
      <c r="I449" s="56">
        <f>SUM(F449:H449)</f>
        <v>341441.65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341441.65</v>
      </c>
      <c r="G450" s="83">
        <f>SUM(G446:G449)</f>
        <v>0</v>
      </c>
      <c r="H450" s="83">
        <f>SUM(H446:H449)</f>
        <v>174716.63</v>
      </c>
      <c r="I450" s="83">
        <f>SUM(I446:I449)</f>
        <v>516158.28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341441.65</v>
      </c>
      <c r="G451" s="42">
        <f>G444+G450</f>
        <v>0</v>
      </c>
      <c r="H451" s="42">
        <f>H444+H450</f>
        <v>174716.63</v>
      </c>
      <c r="I451" s="42">
        <f>I444+I450</f>
        <v>516158.28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283812.68</v>
      </c>
      <c r="G455" s="18">
        <v>0</v>
      </c>
      <c r="H455" s="18">
        <v>9696.76</v>
      </c>
      <c r="I455" s="18">
        <v>0</v>
      </c>
      <c r="J455" s="18">
        <v>436379.73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9717508.5299999993</v>
      </c>
      <c r="G458" s="18">
        <f>G185</f>
        <v>260797.94</v>
      </c>
      <c r="H458" s="18">
        <f>H185</f>
        <v>908867.68999999983</v>
      </c>
      <c r="I458" s="18">
        <v>0</v>
      </c>
      <c r="J458" s="18">
        <f>J185</f>
        <v>105405.70999999999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9717508.5299999993</v>
      </c>
      <c r="G460" s="53">
        <f>SUM(G458:G459)</f>
        <v>260797.94</v>
      </c>
      <c r="H460" s="53">
        <f>SUM(H458:H459)</f>
        <v>908867.68999999983</v>
      </c>
      <c r="I460" s="53">
        <f>SUM(I458:I459)</f>
        <v>0</v>
      </c>
      <c r="J460" s="53">
        <f>SUM(J458:J459)</f>
        <v>105405.70999999999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9783677.4800000004</v>
      </c>
      <c r="G462" s="18">
        <f>L354</f>
        <v>245687.85</v>
      </c>
      <c r="H462" s="18">
        <f>L344</f>
        <v>916915.49000000011</v>
      </c>
      <c r="I462" s="18">
        <v>0</v>
      </c>
      <c r="J462" s="18">
        <f>L426</f>
        <v>25627.16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0.01</v>
      </c>
      <c r="G463" s="18"/>
      <c r="H463" s="18">
        <v>0.01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9783677.4900000002</v>
      </c>
      <c r="G464" s="53">
        <f>SUM(G462:G463)</f>
        <v>245687.85</v>
      </c>
      <c r="H464" s="53">
        <f>SUM(H462:H463)</f>
        <v>916915.50000000012</v>
      </c>
      <c r="I464" s="53">
        <f>SUM(I462:I463)</f>
        <v>0</v>
      </c>
      <c r="J464" s="53">
        <f>SUM(J462:J463)</f>
        <v>25627.16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217643.71999999881</v>
      </c>
      <c r="G466" s="53">
        <f>(G455+G460)- G464</f>
        <v>15110.089999999997</v>
      </c>
      <c r="H466" s="53">
        <f>(H455+H460)- H464</f>
        <v>1648.9499999997206</v>
      </c>
      <c r="I466" s="53">
        <f>(I455+I460)- I464</f>
        <v>0</v>
      </c>
      <c r="J466" s="53">
        <f>(J455+J460)- J464</f>
        <v>516158.27999999997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898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5.58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2915000</v>
      </c>
      <c r="G485" s="18"/>
      <c r="H485" s="18"/>
      <c r="I485" s="18"/>
      <c r="J485" s="18"/>
      <c r="K485" s="53">
        <f>SUM(F485:J485)</f>
        <v>2915000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265000</v>
      </c>
      <c r="G487" s="18"/>
      <c r="H487" s="18"/>
      <c r="I487" s="18"/>
      <c r="J487" s="18"/>
      <c r="K487" s="53">
        <f t="shared" si="34"/>
        <v>265000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2650000</v>
      </c>
      <c r="G488" s="205"/>
      <c r="H488" s="205"/>
      <c r="I488" s="205"/>
      <c r="J488" s="205"/>
      <c r="K488" s="206">
        <f t="shared" si="34"/>
        <v>2650000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822493.82</v>
      </c>
      <c r="G489" s="18"/>
      <c r="H489" s="18"/>
      <c r="I489" s="18"/>
      <c r="J489" s="18"/>
      <c r="K489" s="53">
        <f t="shared" si="34"/>
        <v>822493.82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3472493.82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3472493.82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265000</v>
      </c>
      <c r="G491" s="205"/>
      <c r="H491" s="205"/>
      <c r="I491" s="205"/>
      <c r="J491" s="205"/>
      <c r="K491" s="206">
        <f t="shared" si="34"/>
        <v>265000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148333.76000000001</v>
      </c>
      <c r="G492" s="18"/>
      <c r="H492" s="18"/>
      <c r="I492" s="18"/>
      <c r="J492" s="18"/>
      <c r="K492" s="53">
        <f t="shared" si="34"/>
        <v>148333.76000000001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413333.76000000001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413333.76000000001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20733.16</v>
      </c>
      <c r="G497" s="144"/>
      <c r="H497" s="144">
        <v>9837.94</v>
      </c>
      <c r="I497" s="144">
        <v>10895.22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651364.71</v>
      </c>
      <c r="G511" s="18">
        <v>190665.67</v>
      </c>
      <c r="H511" s="18">
        <v>88703.15</v>
      </c>
      <c r="I511" s="18">
        <v>16560.849999999999</v>
      </c>
      <c r="J511" s="18">
        <v>16867.34</v>
      </c>
      <c r="K511" s="18">
        <v>1218.9000000000001</v>
      </c>
      <c r="L511" s="88">
        <f>SUM(F511:K511)</f>
        <v>965380.62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212633.7</v>
      </c>
      <c r="G512" s="18">
        <v>54591.42</v>
      </c>
      <c r="H512" s="18">
        <v>185145.12</v>
      </c>
      <c r="I512" s="18">
        <v>2236.52</v>
      </c>
      <c r="J512" s="18">
        <v>3495.31</v>
      </c>
      <c r="K512" s="18">
        <v>399.4</v>
      </c>
      <c r="L512" s="88">
        <f>SUM(F512:K512)</f>
        <v>458501.47000000003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352337.72</v>
      </c>
      <c r="G513" s="18">
        <v>110502.74</v>
      </c>
      <c r="H513" s="18">
        <v>561322.43999999994</v>
      </c>
      <c r="I513" s="18">
        <v>7364.75</v>
      </c>
      <c r="J513" s="18">
        <v>6213.88</v>
      </c>
      <c r="K513" s="18">
        <v>599.1</v>
      </c>
      <c r="L513" s="88">
        <f>SUM(F513:K513)</f>
        <v>1038340.6299999999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1216336.1299999999</v>
      </c>
      <c r="G514" s="108">
        <f t="shared" ref="G514:L514" si="35">SUM(G511:G513)</f>
        <v>355759.83</v>
      </c>
      <c r="H514" s="108">
        <f t="shared" si="35"/>
        <v>835170.71</v>
      </c>
      <c r="I514" s="108">
        <f t="shared" si="35"/>
        <v>26162.12</v>
      </c>
      <c r="J514" s="108">
        <f t="shared" si="35"/>
        <v>26576.530000000002</v>
      </c>
      <c r="K514" s="108">
        <f t="shared" si="35"/>
        <v>2217.4</v>
      </c>
      <c r="L514" s="89">
        <f t="shared" si="35"/>
        <v>2462222.7199999997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157470.57999999999</v>
      </c>
      <c r="G516" s="18">
        <v>53738.26</v>
      </c>
      <c r="H516" s="18">
        <v>63813.98</v>
      </c>
      <c r="I516" s="18">
        <v>1673.34</v>
      </c>
      <c r="J516" s="18"/>
      <c r="K516" s="18"/>
      <c r="L516" s="88">
        <f>SUM(F516:K516)</f>
        <v>276696.16000000003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22975.57</v>
      </c>
      <c r="G517" s="18">
        <v>6811.86</v>
      </c>
      <c r="H517" s="18"/>
      <c r="I517" s="18">
        <v>370.93</v>
      </c>
      <c r="J517" s="18"/>
      <c r="K517" s="18"/>
      <c r="L517" s="88">
        <f>SUM(F517:K517)</f>
        <v>30158.36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33658.550000000003</v>
      </c>
      <c r="G518" s="18">
        <v>11063.13</v>
      </c>
      <c r="H518" s="18">
        <v>24994.21</v>
      </c>
      <c r="I518" s="18">
        <v>515.67999999999995</v>
      </c>
      <c r="J518" s="18"/>
      <c r="K518" s="18"/>
      <c r="L518" s="88">
        <f>SUM(F518:K518)</f>
        <v>70231.569999999992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214104.7</v>
      </c>
      <c r="G519" s="89">
        <f t="shared" ref="G519:L519" si="36">SUM(G516:G518)</f>
        <v>71613.25</v>
      </c>
      <c r="H519" s="89">
        <f t="shared" si="36"/>
        <v>88808.19</v>
      </c>
      <c r="I519" s="89">
        <f t="shared" si="36"/>
        <v>2559.9499999999998</v>
      </c>
      <c r="J519" s="89">
        <f t="shared" si="36"/>
        <v>0</v>
      </c>
      <c r="K519" s="89">
        <f t="shared" si="36"/>
        <v>0</v>
      </c>
      <c r="L519" s="89">
        <f t="shared" si="36"/>
        <v>377086.09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94533.65</v>
      </c>
      <c r="G521" s="18">
        <v>23748.240000000002</v>
      </c>
      <c r="H521" s="18"/>
      <c r="I521" s="18"/>
      <c r="J521" s="18"/>
      <c r="K521" s="18"/>
      <c r="L521" s="88">
        <f>SUM(F521:K521)</f>
        <v>118281.89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29249.97</v>
      </c>
      <c r="G522" s="18">
        <v>6897.62</v>
      </c>
      <c r="H522" s="18"/>
      <c r="I522" s="18"/>
      <c r="J522" s="18"/>
      <c r="K522" s="18"/>
      <c r="L522" s="88">
        <f>SUM(F522:K522)</f>
        <v>36147.590000000004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54324.37</v>
      </c>
      <c r="G523" s="18">
        <v>12809.87</v>
      </c>
      <c r="H523" s="18"/>
      <c r="I523" s="18"/>
      <c r="J523" s="18"/>
      <c r="K523" s="18"/>
      <c r="L523" s="88">
        <f>SUM(F523:K523)</f>
        <v>67134.240000000005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178107.99</v>
      </c>
      <c r="G524" s="89">
        <f t="shared" ref="G524:L524" si="37">SUM(G521:G523)</f>
        <v>43455.73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221563.72000000003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315</v>
      </c>
      <c r="I526" s="18"/>
      <c r="J526" s="18"/>
      <c r="K526" s="18"/>
      <c r="L526" s="88">
        <f>SUM(F526:K526)</f>
        <v>315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720</v>
      </c>
      <c r="I527" s="18"/>
      <c r="J527" s="18"/>
      <c r="K527" s="18"/>
      <c r="L527" s="88">
        <f>SUM(F527:K527)</f>
        <v>720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1035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1035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60203.360000000001</v>
      </c>
      <c r="I531" s="18"/>
      <c r="J531" s="18"/>
      <c r="K531" s="18"/>
      <c r="L531" s="88">
        <f>SUM(F531:K531)</f>
        <v>60203.360000000001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111360</v>
      </c>
      <c r="I532" s="18"/>
      <c r="J532" s="18"/>
      <c r="K532" s="18"/>
      <c r="L532" s="88">
        <f>SUM(F532:K532)</f>
        <v>111360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146859.32999999999</v>
      </c>
      <c r="I533" s="18"/>
      <c r="J533" s="18"/>
      <c r="K533" s="18"/>
      <c r="L533" s="88">
        <f>SUM(F533:K533)</f>
        <v>146859.32999999999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318422.68999999994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318422.68999999994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1608548.8199999998</v>
      </c>
      <c r="G535" s="89">
        <f t="shared" ref="G535:L535" si="40">G514+G519+G524+G529+G534</f>
        <v>470828.81</v>
      </c>
      <c r="H535" s="89">
        <f t="shared" si="40"/>
        <v>1243436.5899999999</v>
      </c>
      <c r="I535" s="89">
        <f t="shared" si="40"/>
        <v>28722.07</v>
      </c>
      <c r="J535" s="89">
        <f t="shared" si="40"/>
        <v>26576.530000000002</v>
      </c>
      <c r="K535" s="89">
        <f t="shared" si="40"/>
        <v>2217.4</v>
      </c>
      <c r="L535" s="89">
        <f t="shared" si="40"/>
        <v>3380330.2199999997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965380.62</v>
      </c>
      <c r="G539" s="87">
        <f>L516</f>
        <v>276696.16000000003</v>
      </c>
      <c r="H539" s="87">
        <f>L521</f>
        <v>118281.89</v>
      </c>
      <c r="I539" s="87">
        <f>L526</f>
        <v>315</v>
      </c>
      <c r="J539" s="87">
        <f>L531</f>
        <v>60203.360000000001</v>
      </c>
      <c r="K539" s="87">
        <f>SUM(F539:J539)</f>
        <v>1420877.03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458501.47000000003</v>
      </c>
      <c r="G540" s="87">
        <f>L517</f>
        <v>30158.36</v>
      </c>
      <c r="H540" s="87">
        <f>L522</f>
        <v>36147.590000000004</v>
      </c>
      <c r="I540" s="87">
        <f>L527</f>
        <v>720</v>
      </c>
      <c r="J540" s="87">
        <f>L532</f>
        <v>111360</v>
      </c>
      <c r="K540" s="87">
        <f>SUM(F540:J540)</f>
        <v>636887.42000000004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1038340.6299999999</v>
      </c>
      <c r="G541" s="87">
        <f>L518</f>
        <v>70231.569999999992</v>
      </c>
      <c r="H541" s="87">
        <f>L523</f>
        <v>67134.240000000005</v>
      </c>
      <c r="I541" s="87">
        <f>L528</f>
        <v>0</v>
      </c>
      <c r="J541" s="87">
        <f>L533</f>
        <v>146859.32999999999</v>
      </c>
      <c r="K541" s="87">
        <f>SUM(F541:J541)</f>
        <v>1322565.77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2462222.7199999997</v>
      </c>
      <c r="G542" s="89">
        <f t="shared" si="41"/>
        <v>377086.09</v>
      </c>
      <c r="H542" s="89">
        <f t="shared" si="41"/>
        <v>221563.72000000003</v>
      </c>
      <c r="I542" s="89">
        <f t="shared" si="41"/>
        <v>1035</v>
      </c>
      <c r="J542" s="89">
        <f t="shared" si="41"/>
        <v>318422.68999999994</v>
      </c>
      <c r="K542" s="89">
        <f t="shared" si="41"/>
        <v>3380330.22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13027.63</v>
      </c>
      <c r="G552" s="18">
        <v>3058.22</v>
      </c>
      <c r="H552" s="18"/>
      <c r="I552" s="18"/>
      <c r="J552" s="18"/>
      <c r="K552" s="18"/>
      <c r="L552" s="88">
        <f>SUM(F552:K552)</f>
        <v>16085.849999999999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13027.63</v>
      </c>
      <c r="G555" s="89">
        <f t="shared" si="43"/>
        <v>3058.22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16085.849999999999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>
        <v>3.3</v>
      </c>
      <c r="J558" s="18"/>
      <c r="K558" s="18"/>
      <c r="L558" s="88">
        <f>SUM(F558:K558)</f>
        <v>3.3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>
        <v>1650</v>
      </c>
      <c r="J559" s="18"/>
      <c r="K559" s="18"/>
      <c r="L559" s="88">
        <f>SUM(F559:K559)</f>
        <v>1650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1653.3</v>
      </c>
      <c r="J560" s="194">
        <f t="shared" si="44"/>
        <v>0</v>
      </c>
      <c r="K560" s="194">
        <f t="shared" si="44"/>
        <v>0</v>
      </c>
      <c r="L560" s="194">
        <f t="shared" si="44"/>
        <v>1653.3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13027.63</v>
      </c>
      <c r="G561" s="89">
        <f t="shared" ref="G561:L561" si="45">G550+G555+G560</f>
        <v>3058.22</v>
      </c>
      <c r="H561" s="89">
        <f t="shared" si="45"/>
        <v>0</v>
      </c>
      <c r="I561" s="89">
        <f t="shared" si="45"/>
        <v>1653.3</v>
      </c>
      <c r="J561" s="89">
        <f t="shared" si="45"/>
        <v>0</v>
      </c>
      <c r="K561" s="89">
        <f t="shared" si="45"/>
        <v>0</v>
      </c>
      <c r="L561" s="89">
        <f t="shared" si="45"/>
        <v>17739.149999999998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52862.400000000001</v>
      </c>
      <c r="G569" s="18"/>
      <c r="H569" s="18"/>
      <c r="I569" s="87">
        <f t="shared" si="46"/>
        <v>52862.400000000001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2089.54</v>
      </c>
      <c r="G572" s="18">
        <v>181386.62</v>
      </c>
      <c r="H572" s="18">
        <v>538992.22</v>
      </c>
      <c r="I572" s="87">
        <f t="shared" si="46"/>
        <v>722468.38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9204.64</v>
      </c>
      <c r="I574" s="87">
        <f t="shared" si="46"/>
        <v>9204.64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74378.080000000002</v>
      </c>
      <c r="I581" s="18">
        <v>24286.73</v>
      </c>
      <c r="J581" s="18">
        <v>53127.199999999997</v>
      </c>
      <c r="K581" s="104">
        <f t="shared" ref="K581:K587" si="47">SUM(H581:J581)</f>
        <v>151792.01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53586.559999999998</v>
      </c>
      <c r="I582" s="18">
        <v>111360</v>
      </c>
      <c r="J582" s="18">
        <v>146859.32999999999</v>
      </c>
      <c r="K582" s="104">
        <f t="shared" si="47"/>
        <v>311805.89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13860</v>
      </c>
      <c r="K583" s="104">
        <f t="shared" si="47"/>
        <v>13860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5146.71</v>
      </c>
      <c r="J584" s="18">
        <v>10502.99</v>
      </c>
      <c r="K584" s="104">
        <f t="shared" si="47"/>
        <v>15649.7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1435.24</v>
      </c>
      <c r="J585" s="18">
        <v>6399.86</v>
      </c>
      <c r="K585" s="104">
        <f t="shared" si="47"/>
        <v>7835.0999999999995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127964.64</v>
      </c>
      <c r="I588" s="108">
        <f>SUM(I581:I587)</f>
        <v>142228.68</v>
      </c>
      <c r="J588" s="108">
        <f>SUM(J581:J587)</f>
        <v>230749.37999999995</v>
      </c>
      <c r="K588" s="108">
        <f>SUM(K581:K587)</f>
        <v>500942.7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70270.929999999993</v>
      </c>
      <c r="I594" s="18">
        <v>38116.9</v>
      </c>
      <c r="J594" s="18">
        <v>77805.649999999994</v>
      </c>
      <c r="K594" s="104">
        <f>SUM(H594:J594)</f>
        <v>186193.47999999998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70270.929999999993</v>
      </c>
      <c r="I595" s="108">
        <f>SUM(I592:I594)</f>
        <v>38116.9</v>
      </c>
      <c r="J595" s="108">
        <f>SUM(J592:J594)</f>
        <v>77805.649999999994</v>
      </c>
      <c r="K595" s="108">
        <f>SUM(K592:K594)</f>
        <v>186193.47999999998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3300</v>
      </c>
      <c r="G601" s="18">
        <v>329.73</v>
      </c>
      <c r="H601" s="18"/>
      <c r="I601" s="18"/>
      <c r="J601" s="18"/>
      <c r="K601" s="18"/>
      <c r="L601" s="88">
        <f>SUM(F601:K601)</f>
        <v>3629.73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4800</v>
      </c>
      <c r="G602" s="18">
        <v>746.64</v>
      </c>
      <c r="H602" s="18"/>
      <c r="I602" s="18"/>
      <c r="J602" s="18"/>
      <c r="K602" s="18"/>
      <c r="L602" s="88">
        <f>SUM(F602:K602)</f>
        <v>5546.64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3702</v>
      </c>
      <c r="G603" s="18">
        <v>608.41999999999996</v>
      </c>
      <c r="H603" s="18"/>
      <c r="I603" s="18"/>
      <c r="J603" s="18"/>
      <c r="K603" s="18"/>
      <c r="L603" s="88">
        <f>SUM(F603:K603)</f>
        <v>4310.42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11802</v>
      </c>
      <c r="G604" s="108">
        <f t="shared" si="48"/>
        <v>1684.79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13486.79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1127325.9000000001</v>
      </c>
      <c r="H607" s="109">
        <f>SUM(F44)</f>
        <v>1127325.8999999999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42600.36</v>
      </c>
      <c r="H608" s="109">
        <f>SUM(G44)</f>
        <v>42600.36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112318.92</v>
      </c>
      <c r="H609" s="109">
        <f>SUM(H44)</f>
        <v>112318.92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516158.28</v>
      </c>
      <c r="H611" s="109">
        <f>SUM(J44)</f>
        <v>516158.28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217643.72</v>
      </c>
      <c r="H612" s="109">
        <f>F466</f>
        <v>217643.71999999881</v>
      </c>
      <c r="I612" s="121" t="s">
        <v>106</v>
      </c>
      <c r="J612" s="109">
        <f t="shared" ref="J612:J645" si="49">G612-H612</f>
        <v>1.1932570487260818E-9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15110.09</v>
      </c>
      <c r="H613" s="109">
        <f>G466</f>
        <v>15110.089999999997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1648.95</v>
      </c>
      <c r="H614" s="109">
        <f>H466</f>
        <v>1648.9499999997206</v>
      </c>
      <c r="I614" s="121" t="s">
        <v>110</v>
      </c>
      <c r="J614" s="109">
        <f t="shared" si="49"/>
        <v>2.794422471197322E-10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516158.28</v>
      </c>
      <c r="H616" s="109">
        <f>J466</f>
        <v>516158.27999999997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9717508.5299999993</v>
      </c>
      <c r="H617" s="104">
        <f>SUM(F458)</f>
        <v>9717508.5299999993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260797.94</v>
      </c>
      <c r="H618" s="104">
        <f>SUM(G458)</f>
        <v>260797.94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908867.68999999983</v>
      </c>
      <c r="H619" s="104">
        <f>SUM(H458)</f>
        <v>908867.68999999983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105405.70999999999</v>
      </c>
      <c r="H621" s="104">
        <f>SUM(J458)</f>
        <v>105405.70999999999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9783677.4800000004</v>
      </c>
      <c r="H622" s="104">
        <f>SUM(F462)</f>
        <v>9783677.4800000004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916915.49000000011</v>
      </c>
      <c r="H623" s="104">
        <f>SUM(H462)</f>
        <v>916915.49000000011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128851.58</v>
      </c>
      <c r="H624" s="104">
        <f>I361</f>
        <v>128851.58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245687.85</v>
      </c>
      <c r="H625" s="104">
        <f>SUM(G462)</f>
        <v>245687.85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105405.71</v>
      </c>
      <c r="H627" s="164">
        <f>SUM(J458)</f>
        <v>105405.70999999999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25627.16</v>
      </c>
      <c r="H628" s="164">
        <f>SUM(J462)</f>
        <v>25627.16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341441.65</v>
      </c>
      <c r="H629" s="104">
        <f>SUM(F451)</f>
        <v>341441.65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174716.63</v>
      </c>
      <c r="H631" s="104">
        <f>SUM(H451)</f>
        <v>174716.63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516158.28</v>
      </c>
      <c r="H632" s="104">
        <f>SUM(I451)</f>
        <v>516158.28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5108.08</v>
      </c>
      <c r="H634" s="104">
        <f>H400</f>
        <v>5108.08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</v>
      </c>
      <c r="H635" s="104">
        <f>G400</f>
        <v>55000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105405.70999999999</v>
      </c>
      <c r="H636" s="104">
        <f>L400</f>
        <v>105405.71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500942.7</v>
      </c>
      <c r="H637" s="104">
        <f>L200+L218+L236</f>
        <v>500942.7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186193.47999999998</v>
      </c>
      <c r="H638" s="104">
        <f>(J249+J330)-(J247+J328)</f>
        <v>186193.47999999998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127964.64</v>
      </c>
      <c r="H639" s="104">
        <f>H588</f>
        <v>127964.64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142228.68</v>
      </c>
      <c r="H640" s="104">
        <f>I588</f>
        <v>142228.68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230749.38</v>
      </c>
      <c r="H641" s="104">
        <f>J588</f>
        <v>230749.37999999995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12000</v>
      </c>
      <c r="H642" s="104">
        <f>K255+K337</f>
        <v>12000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</v>
      </c>
      <c r="H645" s="104">
        <f>K258+K339</f>
        <v>55000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4670262.16</v>
      </c>
      <c r="G650" s="19">
        <f>(L221+L301+L351)</f>
        <v>1897691.82</v>
      </c>
      <c r="H650" s="19">
        <f>(L239+L320+L352)</f>
        <v>3852293.0799999991</v>
      </c>
      <c r="I650" s="19">
        <f>SUM(F650:H650)</f>
        <v>10420247.059999999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49082.040739899836</v>
      </c>
      <c r="G651" s="19">
        <f>(L351/IF(SUM(L350:L352)=0,1,SUM(L350:L352))*(SUM(G89:G102)))</f>
        <v>19531.819900000748</v>
      </c>
      <c r="H651" s="19">
        <f>(L352/IF(SUM(L350:L352)=0,1,SUM(L350:L352))*(SUM(G89:G102)))</f>
        <v>39262.859360099414</v>
      </c>
      <c r="I651" s="19">
        <f>SUM(F651:H651)</f>
        <v>107876.72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134581.44</v>
      </c>
      <c r="G652" s="19">
        <f>(L218+L298)-(J218+J298)</f>
        <v>142228.68</v>
      </c>
      <c r="H652" s="19">
        <f>(L236+L317)-(J236+J317)</f>
        <v>230749.38</v>
      </c>
      <c r="I652" s="19">
        <f>SUM(F652:H652)</f>
        <v>507559.5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128852.59999999999</v>
      </c>
      <c r="G653" s="200">
        <f>SUM(G565:G577)+SUM(I592:I594)+L602</f>
        <v>225050.16</v>
      </c>
      <c r="H653" s="200">
        <f>SUM(H565:H577)+SUM(J592:J594)+L603</f>
        <v>630312.93000000005</v>
      </c>
      <c r="I653" s="19">
        <f>SUM(F653:H653)</f>
        <v>984215.69000000006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4357746.0792601006</v>
      </c>
      <c r="G654" s="19">
        <f>G650-SUM(G651:G653)</f>
        <v>1510881.1600999993</v>
      </c>
      <c r="H654" s="19">
        <f>H650-SUM(H651:H653)</f>
        <v>2951967.9106398998</v>
      </c>
      <c r="I654" s="19">
        <f>I650-SUM(I651:I653)</f>
        <v>8820595.1499999985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306.41000000000003</v>
      </c>
      <c r="G655" s="249">
        <v>85.65</v>
      </c>
      <c r="H655" s="249">
        <v>172.69</v>
      </c>
      <c r="I655" s="19">
        <f>SUM(F655:H655)</f>
        <v>564.75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14221.94</v>
      </c>
      <c r="G657" s="19">
        <f>ROUND(G654/G655,2)</f>
        <v>17640.18</v>
      </c>
      <c r="H657" s="19">
        <f>ROUND(H654/H655,2)</f>
        <v>17094.03</v>
      </c>
      <c r="I657" s="19">
        <f>ROUND(I654/I655,2)</f>
        <v>15618.58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-3.15</v>
      </c>
      <c r="I660" s="19">
        <f>SUM(F660:H660)</f>
        <v>-3.15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14221.94</v>
      </c>
      <c r="G662" s="19">
        <f>ROUND((G654+G659)/(G655+G660),2)</f>
        <v>17640.18</v>
      </c>
      <c r="H662" s="19">
        <f>ROUND((H654+H659)/(H655+H660),2)</f>
        <v>17411.63</v>
      </c>
      <c r="I662" s="19">
        <f>ROUND((I654+I659)/(I655+I660),2)</f>
        <v>15706.19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0679-EDDA-4A8F-B9CD-A874F8149D3D}">
  <sheetPr>
    <tabColor indexed="20"/>
  </sheetPr>
  <dimension ref="A1:C52"/>
  <sheetViews>
    <sheetView topLeftCell="A16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PITTSFIELD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2326178.83</v>
      </c>
      <c r="C9" s="230">
        <f>'DOE25'!G189+'DOE25'!G207+'DOE25'!G225+'DOE25'!G268+'DOE25'!G287+'DOE25'!G306</f>
        <v>869438.94</v>
      </c>
    </row>
    <row r="10" spans="1:3" x14ac:dyDescent="0.2">
      <c r="A10" t="s">
        <v>813</v>
      </c>
      <c r="B10" s="241">
        <v>2064118.17</v>
      </c>
      <c r="C10" s="241">
        <v>818558.77</v>
      </c>
    </row>
    <row r="11" spans="1:3" x14ac:dyDescent="0.2">
      <c r="A11" t="s">
        <v>814</v>
      </c>
      <c r="B11" s="241">
        <v>205424.91</v>
      </c>
      <c r="C11" s="241">
        <v>46547.54</v>
      </c>
    </row>
    <row r="12" spans="1:3" x14ac:dyDescent="0.2">
      <c r="A12" t="s">
        <v>815</v>
      </c>
      <c r="B12" s="241">
        <v>56635.75</v>
      </c>
      <c r="C12" s="241">
        <v>4332.63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2326178.83</v>
      </c>
      <c r="C13" s="232">
        <f>SUM(C10:C12)</f>
        <v>869438.94000000006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1229363.7700000003</v>
      </c>
      <c r="C18" s="230">
        <f>'DOE25'!G190+'DOE25'!G208+'DOE25'!G226+'DOE25'!G269+'DOE25'!G288+'DOE25'!G307</f>
        <v>365684.89</v>
      </c>
    </row>
    <row r="19" spans="1:3" x14ac:dyDescent="0.2">
      <c r="A19" t="s">
        <v>813</v>
      </c>
      <c r="B19" s="241">
        <v>574919.80000000005</v>
      </c>
      <c r="C19" s="241">
        <v>210920.97</v>
      </c>
    </row>
    <row r="20" spans="1:3" x14ac:dyDescent="0.2">
      <c r="A20" t="s">
        <v>814</v>
      </c>
      <c r="B20" s="241">
        <v>654443.97</v>
      </c>
      <c r="C20" s="241">
        <v>154763.92000000001</v>
      </c>
    </row>
    <row r="21" spans="1:3" x14ac:dyDescent="0.2">
      <c r="A21" t="s">
        <v>815</v>
      </c>
      <c r="B21" s="241">
        <v>0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1229363.77</v>
      </c>
      <c r="C22" s="232">
        <f>SUM(C19:C21)</f>
        <v>365684.89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57425</v>
      </c>
      <c r="C36" s="236">
        <f>'DOE25'!G192+'DOE25'!G210+'DOE25'!G228+'DOE25'!G271+'DOE25'!G290+'DOE25'!G309</f>
        <v>7226.4599999999991</v>
      </c>
    </row>
    <row r="37" spans="1:3" x14ac:dyDescent="0.2">
      <c r="A37" t="s">
        <v>813</v>
      </c>
      <c r="B37" s="241">
        <v>27386</v>
      </c>
      <c r="C37" s="241">
        <v>4228.6400000000003</v>
      </c>
    </row>
    <row r="38" spans="1:3" x14ac:dyDescent="0.2">
      <c r="A38" t="s">
        <v>814</v>
      </c>
      <c r="B38" s="241">
        <v>6394</v>
      </c>
      <c r="C38" s="241">
        <v>1099.1300000000001</v>
      </c>
    </row>
    <row r="39" spans="1:3" x14ac:dyDescent="0.2">
      <c r="A39" t="s">
        <v>815</v>
      </c>
      <c r="B39" s="241">
        <v>23645</v>
      </c>
      <c r="C39" s="241">
        <v>1898.69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57425</v>
      </c>
      <c r="C40" s="232">
        <f>SUM(C37:C39)</f>
        <v>7226.4600000000009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9060-F879-4C91-A897-60F055B6C045}">
  <sheetPr>
    <tabColor indexed="11"/>
  </sheetPr>
  <dimension ref="A1:I51"/>
  <sheetViews>
    <sheetView workbookViewId="0">
      <pane ySplit="4" topLeftCell="A5" activePane="bottomLeft" state="frozen"/>
      <selection pane="bottomLeft" activeCell="F36" sqref="F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PITTSFIELD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5484690.8499999996</v>
      </c>
      <c r="D5" s="20">
        <f>SUM('DOE25'!L189:L192)+SUM('DOE25'!L207:L210)+SUM('DOE25'!L225:L228)-F5-G5</f>
        <v>5463337.8899999997</v>
      </c>
      <c r="E5" s="244"/>
      <c r="F5" s="256">
        <f>SUM('DOE25'!J189:J192)+SUM('DOE25'!J207:J210)+SUM('DOE25'!J225:J228)</f>
        <v>3330.12</v>
      </c>
      <c r="G5" s="53">
        <f>SUM('DOE25'!K189:K192)+SUM('DOE25'!K207:K210)+SUM('DOE25'!K225:K228)</f>
        <v>18022.839999999997</v>
      </c>
      <c r="H5" s="260"/>
    </row>
    <row r="6" spans="1:9" x14ac:dyDescent="0.2">
      <c r="A6" s="32">
        <v>2100</v>
      </c>
      <c r="B6" t="s">
        <v>835</v>
      </c>
      <c r="C6" s="246">
        <f t="shared" si="0"/>
        <v>794691.26</v>
      </c>
      <c r="D6" s="20">
        <f>'DOE25'!L194+'DOE25'!L212+'DOE25'!L230-F6-G6</f>
        <v>794431.26</v>
      </c>
      <c r="E6" s="244"/>
      <c r="F6" s="256">
        <f>'DOE25'!J194+'DOE25'!J212+'DOE25'!J230</f>
        <v>0</v>
      </c>
      <c r="G6" s="53">
        <f>'DOE25'!K194+'DOE25'!K212+'DOE25'!K230</f>
        <v>260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414426.97000000003</v>
      </c>
      <c r="D7" s="20">
        <f>'DOE25'!L195+'DOE25'!L213+'DOE25'!L231-F7-G7</f>
        <v>334418.91000000003</v>
      </c>
      <c r="E7" s="244"/>
      <c r="F7" s="256">
        <f>'DOE25'!J195+'DOE25'!J213+'DOE25'!J231</f>
        <v>68387.56</v>
      </c>
      <c r="G7" s="53">
        <f>'DOE25'!K195+'DOE25'!K213+'DOE25'!K231</f>
        <v>11620.5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99938.379999999932</v>
      </c>
      <c r="D8" s="244"/>
      <c r="E8" s="20">
        <f>'DOE25'!L196+'DOE25'!L214+'DOE25'!L232-F8-G8-D9-D11</f>
        <v>89038.429999999935</v>
      </c>
      <c r="F8" s="256">
        <f>'DOE25'!J196+'DOE25'!J214+'DOE25'!J232</f>
        <v>5185</v>
      </c>
      <c r="G8" s="53">
        <f>'DOE25'!K196+'DOE25'!K214+'DOE25'!K232</f>
        <v>5714.95</v>
      </c>
      <c r="H8" s="260"/>
    </row>
    <row r="9" spans="1:9" x14ac:dyDescent="0.2">
      <c r="A9" s="32">
        <v>2310</v>
      </c>
      <c r="B9" t="s">
        <v>852</v>
      </c>
      <c r="C9" s="246">
        <f t="shared" si="0"/>
        <v>50994.39</v>
      </c>
      <c r="D9" s="245">
        <v>50994.39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233659.64</v>
      </c>
      <c r="D11" s="245">
        <v>233659.64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766191.98</v>
      </c>
      <c r="D12" s="20">
        <f>'DOE25'!L197+'DOE25'!L215+'DOE25'!L233-F12-G12</f>
        <v>758728.54</v>
      </c>
      <c r="E12" s="244"/>
      <c r="F12" s="256">
        <f>'DOE25'!J197+'DOE25'!J215+'DOE25'!J233</f>
        <v>0</v>
      </c>
      <c r="G12" s="53">
        <f>'DOE25'!K197+'DOE25'!K215+'DOE25'!K233</f>
        <v>7463.4400000000005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933437.89999999991</v>
      </c>
      <c r="D14" s="20">
        <f>'DOE25'!L199+'DOE25'!L217+'DOE25'!L235-F14-G14</f>
        <v>902725.54999999993</v>
      </c>
      <c r="E14" s="244"/>
      <c r="F14" s="256">
        <f>'DOE25'!J199+'DOE25'!J217+'DOE25'!J235</f>
        <v>30712.35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500942.7</v>
      </c>
      <c r="D15" s="20">
        <f>'DOE25'!L200+'DOE25'!L218+'DOE25'!L236-F15-G15</f>
        <v>500942.7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427908.76</v>
      </c>
      <c r="D25" s="244"/>
      <c r="E25" s="244"/>
      <c r="F25" s="259"/>
      <c r="G25" s="257"/>
      <c r="H25" s="258">
        <f>'DOE25'!L252+'DOE25'!L253+'DOE25'!L333+'DOE25'!L334</f>
        <v>427908.76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126596.85</v>
      </c>
      <c r="D29" s="20">
        <f>'DOE25'!L350+'DOE25'!L351+'DOE25'!L352-'DOE25'!I359-F29-G29</f>
        <v>126461.85</v>
      </c>
      <c r="E29" s="244"/>
      <c r="F29" s="256">
        <f>'DOE25'!J350+'DOE25'!J351+'DOE25'!J352</f>
        <v>0</v>
      </c>
      <c r="G29" s="53">
        <f>'DOE25'!K350+'DOE25'!K351+'DOE25'!K352</f>
        <v>135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911467.69000000006</v>
      </c>
      <c r="D31" s="20">
        <f>'DOE25'!L282+'DOE25'!L301+'DOE25'!L320+'DOE25'!L325+'DOE25'!L326+'DOE25'!L327-F31-G31</f>
        <v>832549.24000000011</v>
      </c>
      <c r="E31" s="244"/>
      <c r="F31" s="256">
        <f>'DOE25'!J282+'DOE25'!J301+'DOE25'!J320+'DOE25'!J325+'DOE25'!J326+'DOE25'!J327</f>
        <v>78578.45</v>
      </c>
      <c r="G31" s="53">
        <f>'DOE25'!K282+'DOE25'!K301+'DOE25'!K320+'DOE25'!K325+'DOE25'!K326+'DOE25'!K327</f>
        <v>340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9998249.9699999988</v>
      </c>
      <c r="E33" s="247">
        <f>SUM(E5:E31)</f>
        <v>96538.429999999935</v>
      </c>
      <c r="F33" s="247">
        <f>SUM(F5:F31)</f>
        <v>186193.47999999998</v>
      </c>
      <c r="G33" s="247">
        <f>SUM(G5:G31)</f>
        <v>43556.729999999996</v>
      </c>
      <c r="H33" s="247">
        <f>SUM(H5:H31)</f>
        <v>427908.76</v>
      </c>
    </row>
    <row r="35" spans="2:8" ht="12" thickBot="1" x14ac:dyDescent="0.25">
      <c r="B35" s="254" t="s">
        <v>881</v>
      </c>
      <c r="D35" s="255">
        <f>E33</f>
        <v>96538.429999999935</v>
      </c>
      <c r="E35" s="250"/>
    </row>
    <row r="36" spans="2:8" ht="12" thickTop="1" x14ac:dyDescent="0.2">
      <c r="B36" t="s">
        <v>849</v>
      </c>
      <c r="D36" s="20">
        <f>D33</f>
        <v>9998249.9699999988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43BB-D98C-4BEB-952F-AF4E627F655B}">
  <sheetPr transitionEvaluation="1" codeName="Sheet2">
    <tabColor indexed="10"/>
  </sheetPr>
  <dimension ref="A1:I156"/>
  <sheetViews>
    <sheetView zoomScale="75" workbookViewId="0">
      <pane ySplit="2" topLeftCell="A12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955716.14</v>
      </c>
      <c r="D9" s="95">
        <f>'DOE25'!G9</f>
        <v>10088.209999999999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174716.63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110948.67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341441.65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60661.09</v>
      </c>
      <c r="D14" s="95">
        <f>'DOE25'!G14</f>
        <v>23710.07</v>
      </c>
      <c r="E14" s="95">
        <f>'DOE25'!H14</f>
        <v>112318.92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8802.08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1127325.9000000001</v>
      </c>
      <c r="D19" s="41">
        <f>SUM(D9:D18)</f>
        <v>42600.36</v>
      </c>
      <c r="E19" s="41">
        <f>SUM(E9:E18)</f>
        <v>112318.92</v>
      </c>
      <c r="F19" s="41">
        <f>SUM(F9:F18)</f>
        <v>0</v>
      </c>
      <c r="G19" s="41">
        <f>SUM(G9:G18)</f>
        <v>516158.28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3402.49</v>
      </c>
      <c r="D22" s="95">
        <f>'DOE25'!G23</f>
        <v>13012.81</v>
      </c>
      <c r="E22" s="95">
        <f>'DOE25'!H23</f>
        <v>97935.86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366124.2</v>
      </c>
      <c r="D24" s="95">
        <f>'DOE25'!G25</f>
        <v>771.18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540155.49</v>
      </c>
      <c r="D28" s="95">
        <f>'DOE25'!G29</f>
        <v>13706.28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12734.11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909682.17999999993</v>
      </c>
      <c r="D32" s="41">
        <f>SUM(D22:D31)</f>
        <v>27490.27</v>
      </c>
      <c r="E32" s="41">
        <f>SUM(E22:E31)</f>
        <v>110669.97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8802.08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129500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174716.63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6308.01</v>
      </c>
      <c r="E40" s="95">
        <f>'DOE25'!H41</f>
        <v>1648.95</v>
      </c>
      <c r="F40" s="95">
        <f>'DOE25'!I41</f>
        <v>0</v>
      </c>
      <c r="G40" s="95">
        <f>'DOE25'!J41</f>
        <v>341441.65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88143.72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217643.72</v>
      </c>
      <c r="D42" s="41">
        <f>SUM(D34:D41)</f>
        <v>15110.09</v>
      </c>
      <c r="E42" s="41">
        <f>SUM(E34:E41)</f>
        <v>1648.95</v>
      </c>
      <c r="F42" s="41">
        <f>SUM(F34:F41)</f>
        <v>0</v>
      </c>
      <c r="G42" s="41">
        <f>SUM(G34:G41)</f>
        <v>516158.28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1127325.8999999999</v>
      </c>
      <c r="D43" s="41">
        <f>D42+D32</f>
        <v>42600.36</v>
      </c>
      <c r="E43" s="41">
        <f>E42+E32</f>
        <v>112318.92</v>
      </c>
      <c r="F43" s="41">
        <f>F42+F32</f>
        <v>0</v>
      </c>
      <c r="G43" s="41">
        <f>G42+G32</f>
        <v>516158.28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4131101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30967.09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726.19</v>
      </c>
      <c r="D51" s="95">
        <f>'DOE25'!G88</f>
        <v>74.569999999999993</v>
      </c>
      <c r="E51" s="95">
        <f>'DOE25'!H88</f>
        <v>0</v>
      </c>
      <c r="F51" s="95">
        <f>'DOE25'!I88</f>
        <v>0</v>
      </c>
      <c r="G51" s="95">
        <f>'DOE25'!J88</f>
        <v>5108.08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107876.72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2468.04</v>
      </c>
      <c r="D53" s="95">
        <f>SUM('DOE25'!G90:G102)</f>
        <v>0</v>
      </c>
      <c r="E53" s="95">
        <f>SUM('DOE25'!H90:H102)</f>
        <v>16963.71</v>
      </c>
      <c r="F53" s="95">
        <f>SUM('DOE25'!I90:I102)</f>
        <v>0</v>
      </c>
      <c r="G53" s="95">
        <f>SUM('DOE25'!J90:J102)</f>
        <v>45297.63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34161.32</v>
      </c>
      <c r="D54" s="130">
        <f>SUM(D49:D53)</f>
        <v>107951.29000000001</v>
      </c>
      <c r="E54" s="130">
        <f>SUM(E49:E53)</f>
        <v>16963.71</v>
      </c>
      <c r="F54" s="130">
        <f>SUM(F49:F53)</f>
        <v>0</v>
      </c>
      <c r="G54" s="130">
        <f>SUM(G49:G53)</f>
        <v>50405.71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4165262.32</v>
      </c>
      <c r="D55" s="22">
        <f>D48+D54</f>
        <v>107951.29000000001</v>
      </c>
      <c r="E55" s="22">
        <f>E48+E54</f>
        <v>16963.71</v>
      </c>
      <c r="F55" s="22">
        <f>F48+F54</f>
        <v>0</v>
      </c>
      <c r="G55" s="22">
        <f>G48+G54</f>
        <v>50405.71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3053297.47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657261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1171454.53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4882013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95635.520000000004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298332.65999999997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3600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4950</v>
      </c>
      <c r="D69" s="95">
        <f>SUM('DOE25'!G123:G127)</f>
        <v>2877.95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402518.18</v>
      </c>
      <c r="D70" s="130">
        <f>SUM(D64:D69)</f>
        <v>2877.95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18576.62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5284531.18</v>
      </c>
      <c r="D73" s="130">
        <f>SUM(D71:D72)+D70+D62</f>
        <v>2877.95</v>
      </c>
      <c r="E73" s="130">
        <f>SUM(E71:E72)+E70+E62</f>
        <v>18576.62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248121.5</v>
      </c>
      <c r="D80" s="95">
        <f>SUM('DOE25'!G145:G153)</f>
        <v>137968.70000000001</v>
      </c>
      <c r="E80" s="95">
        <f>SUM('DOE25'!H145:H153)</f>
        <v>873327.35999999987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248121.5</v>
      </c>
      <c r="D83" s="131">
        <f>SUM(D77:D82)</f>
        <v>137968.70000000001</v>
      </c>
      <c r="E83" s="131">
        <f>SUM(E77:E82)</f>
        <v>873327.35999999987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12000</v>
      </c>
      <c r="E88" s="95">
        <f>'DOE25'!H171</f>
        <v>0</v>
      </c>
      <c r="F88" s="95">
        <f>'DOE25'!I171</f>
        <v>0</v>
      </c>
      <c r="G88" s="95">
        <f>'DOE25'!J171</f>
        <v>55000</v>
      </c>
    </row>
    <row r="89" spans="1:7" x14ac:dyDescent="0.2">
      <c r="A89" t="s">
        <v>790</v>
      </c>
      <c r="B89" s="32" t="s">
        <v>211</v>
      </c>
      <c r="C89" s="95">
        <f>SUM('DOE25'!F172:F173)</f>
        <v>5447.8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14145.73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19593.53</v>
      </c>
      <c r="D95" s="86">
        <f>SUM(D85:D94)</f>
        <v>12000</v>
      </c>
      <c r="E95" s="86">
        <f>SUM(E85:E94)</f>
        <v>0</v>
      </c>
      <c r="F95" s="86">
        <f>SUM(F85:F94)</f>
        <v>0</v>
      </c>
      <c r="G95" s="86">
        <f>SUM(G85:G94)</f>
        <v>55000</v>
      </c>
    </row>
    <row r="96" spans="1:7" ht="12.75" thickTop="1" thickBot="1" x14ac:dyDescent="0.25">
      <c r="A96" s="33" t="s">
        <v>797</v>
      </c>
      <c r="C96" s="86">
        <f>C55+C73+C83+C95</f>
        <v>9717508.5299999993</v>
      </c>
      <c r="D96" s="86">
        <f>D55+D73+D83+D95</f>
        <v>260797.94</v>
      </c>
      <c r="E96" s="86">
        <f>E55+E73+E83+E95</f>
        <v>908867.68999999983</v>
      </c>
      <c r="F96" s="86">
        <f>F55+F73+F83+F95</f>
        <v>0</v>
      </c>
      <c r="G96" s="86">
        <f>G55+G73+G95</f>
        <v>105405.70999999999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3090577.1899999995</v>
      </c>
      <c r="D101" s="24" t="s">
        <v>312</v>
      </c>
      <c r="E101" s="95">
        <f>('DOE25'!L268)+('DOE25'!L287)+('DOE25'!L306)</f>
        <v>351900.71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2287122.2599999998</v>
      </c>
      <c r="D102" s="24" t="s">
        <v>312</v>
      </c>
      <c r="E102" s="95">
        <f>('DOE25'!L269)+('DOE25'!L288)+('DOE25'!L307)</f>
        <v>194856.45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9204.64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97786.75999999998</v>
      </c>
      <c r="D104" s="24" t="s">
        <v>312</v>
      </c>
      <c r="E104" s="95">
        <f>+('DOE25'!L271)+('DOE25'!L290)+('DOE25'!L309)</f>
        <v>11729.73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9794.65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15882.55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5494485.4999999991</v>
      </c>
      <c r="D107" s="86">
        <f>SUM(D101:D106)</f>
        <v>0</v>
      </c>
      <c r="E107" s="86">
        <f>SUM(E101:E106)</f>
        <v>574369.44000000006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794691.26</v>
      </c>
      <c r="D110" s="24" t="s">
        <v>312</v>
      </c>
      <c r="E110" s="95">
        <f>+('DOE25'!L273)+('DOE25'!L292)+('DOE25'!L311)</f>
        <v>110882.80000000002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414426.97000000003</v>
      </c>
      <c r="D111" s="24" t="s">
        <v>312</v>
      </c>
      <c r="E111" s="95">
        <f>+('DOE25'!L274)+('DOE25'!L293)+('DOE25'!L312)</f>
        <v>158406.27999999997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384592.41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766191.98</v>
      </c>
      <c r="D113" s="24" t="s">
        <v>312</v>
      </c>
      <c r="E113" s="95">
        <f>+('DOE25'!L276)+('DOE25'!L295)+('DOE25'!L314)</f>
        <v>13791.75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933437.89999999991</v>
      </c>
      <c r="D115" s="24" t="s">
        <v>312</v>
      </c>
      <c r="E115" s="95">
        <f>+('DOE25'!L278)+('DOE25'!L297)+('DOE25'!L316)</f>
        <v>47400.62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500942.7</v>
      </c>
      <c r="D116" s="24" t="s">
        <v>312</v>
      </c>
      <c r="E116" s="95">
        <f>+('DOE25'!L279)+('DOE25'!L298)+('DOE25'!L317)</f>
        <v>6616.8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245687.85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3794283.22</v>
      </c>
      <c r="D120" s="86">
        <f>SUM(D110:D119)</f>
        <v>245687.85</v>
      </c>
      <c r="E120" s="86">
        <f>SUM(E110:E119)</f>
        <v>337098.24999999994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162908.76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5447.8</v>
      </c>
      <c r="F126" s="95">
        <f>'DOE25'!K373</f>
        <v>0</v>
      </c>
      <c r="G126" s="95">
        <f>'DOE25'!K426</f>
        <v>21980.48</v>
      </c>
    </row>
    <row r="127" spans="1:7" x14ac:dyDescent="0.2">
      <c r="A127" t="s">
        <v>256</v>
      </c>
      <c r="B127" s="32" t="s">
        <v>257</v>
      </c>
      <c r="C127" s="95">
        <f>'DOE25'!L255</f>
        <v>12000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20471.52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35430.97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49503.22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-50405.710000000006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494908.75999999995</v>
      </c>
      <c r="D136" s="141">
        <f>SUM(D122:D135)</f>
        <v>0</v>
      </c>
      <c r="E136" s="141">
        <f>SUM(E122:E135)</f>
        <v>5447.8</v>
      </c>
      <c r="F136" s="141">
        <f>SUM(F122:F135)</f>
        <v>0</v>
      </c>
      <c r="G136" s="141">
        <f>SUM(G122:G135)</f>
        <v>21980.48</v>
      </c>
    </row>
    <row r="137" spans="1:9" ht="12.75" thickTop="1" thickBot="1" x14ac:dyDescent="0.25">
      <c r="A137" s="33" t="s">
        <v>267</v>
      </c>
      <c r="C137" s="86">
        <f>(C107+C120+C136)</f>
        <v>9783677.4799999986</v>
      </c>
      <c r="D137" s="86">
        <f>(D107+D120+D136)</f>
        <v>245687.85</v>
      </c>
      <c r="E137" s="86">
        <f>(E107+E120+E136)</f>
        <v>916915.49</v>
      </c>
      <c r="F137" s="86">
        <f>(F107+F120+F136)</f>
        <v>0</v>
      </c>
      <c r="G137" s="86">
        <f>(G107+G120+G136)</f>
        <v>21980.48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01/20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5.58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2915000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2915000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265000</v>
      </c>
    </row>
    <row r="151" spans="1:7" x14ac:dyDescent="0.2">
      <c r="A151" s="22" t="s">
        <v>35</v>
      </c>
      <c r="B151" s="137">
        <f>'DOE25'!F488</f>
        <v>2650000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2650000</v>
      </c>
    </row>
    <row r="152" spans="1:7" x14ac:dyDescent="0.2">
      <c r="A152" s="22" t="s">
        <v>36</v>
      </c>
      <c r="B152" s="137">
        <f>'DOE25'!F489</f>
        <v>822493.82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822493.82</v>
      </c>
    </row>
    <row r="153" spans="1:7" x14ac:dyDescent="0.2">
      <c r="A153" s="22" t="s">
        <v>37</v>
      </c>
      <c r="B153" s="137">
        <f>'DOE25'!F490</f>
        <v>3472493.82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3472493.82</v>
      </c>
    </row>
    <row r="154" spans="1:7" x14ac:dyDescent="0.2">
      <c r="A154" s="22" t="s">
        <v>38</v>
      </c>
      <c r="B154" s="137">
        <f>'DOE25'!F491</f>
        <v>265000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265000</v>
      </c>
    </row>
    <row r="155" spans="1:7" x14ac:dyDescent="0.2">
      <c r="A155" s="22" t="s">
        <v>39</v>
      </c>
      <c r="B155" s="137">
        <f>'DOE25'!F492</f>
        <v>148333.76000000001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148333.76000000001</v>
      </c>
    </row>
    <row r="156" spans="1:7" x14ac:dyDescent="0.2">
      <c r="A156" s="22" t="s">
        <v>269</v>
      </c>
      <c r="B156" s="137">
        <f>'DOE25'!F493</f>
        <v>413333.76000000001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413333.76000000001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4503-2EDE-4ED8-BDBC-00F24535C9E6}">
  <sheetPr codeName="Sheet3">
    <tabColor indexed="43"/>
  </sheetPr>
  <dimension ref="A1:D42"/>
  <sheetViews>
    <sheetView topLeftCell="A10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PITTSFIELD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14222</v>
      </c>
    </row>
    <row r="5" spans="1:4" x14ac:dyDescent="0.2">
      <c r="B5" t="s">
        <v>735</v>
      </c>
      <c r="C5" s="179">
        <f>IF('DOE25'!G655+'DOE25'!G660=0,0,ROUND('DOE25'!G662,0))</f>
        <v>17640</v>
      </c>
    </row>
    <row r="6" spans="1:4" x14ac:dyDescent="0.2">
      <c r="B6" t="s">
        <v>62</v>
      </c>
      <c r="C6" s="179">
        <f>IF('DOE25'!H655+'DOE25'!H660=0,0,ROUND('DOE25'!H662,0))</f>
        <v>17412</v>
      </c>
    </row>
    <row r="7" spans="1:4" x14ac:dyDescent="0.2">
      <c r="B7" t="s">
        <v>736</v>
      </c>
      <c r="C7" s="179">
        <f>IF('DOE25'!I655+'DOE25'!I660=0,0,ROUND('DOE25'!I662,0))</f>
        <v>15706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3442478</v>
      </c>
      <c r="D10" s="182">
        <f>ROUND((C10/$C$28)*100,1)</f>
        <v>32.799999999999997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2481979</v>
      </c>
      <c r="D11" s="182">
        <f>ROUND((C11/$C$28)*100,1)</f>
        <v>23.6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9205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109516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905574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572833</v>
      </c>
      <c r="D16" s="182">
        <f t="shared" si="0"/>
        <v>5.5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384592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779984</v>
      </c>
      <c r="D18" s="182">
        <f t="shared" si="0"/>
        <v>7.4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980839</v>
      </c>
      <c r="D20" s="182">
        <f t="shared" si="0"/>
        <v>9.3000000000000007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507560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9795</v>
      </c>
      <c r="D23" s="182">
        <f t="shared" si="0"/>
        <v>0.1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15883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162909</v>
      </c>
      <c r="D25" s="182">
        <f t="shared" si="0"/>
        <v>1.6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137811.28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10500958.279999999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10500958.279999999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265000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4131101</v>
      </c>
      <c r="D35" s="182">
        <f t="shared" ref="D35:D40" si="1">ROUND((C35/$C$41)*100,1)</f>
        <v>38.299999999999997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101605.30999999959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3710558</v>
      </c>
      <c r="D37" s="182">
        <f t="shared" si="1"/>
        <v>34.4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1595427</v>
      </c>
      <c r="D38" s="182">
        <f t="shared" si="1"/>
        <v>14.8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1259418</v>
      </c>
      <c r="D39" s="182">
        <f t="shared" si="1"/>
        <v>11.7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10798109.309999999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5308-CFA7-4C89-AAE0-C9578459133C}">
  <sheetPr>
    <tabColor indexed="17"/>
  </sheetPr>
  <dimension ref="A1:IV90"/>
  <sheetViews>
    <sheetView workbookViewId="0">
      <pane ySplit="3" topLeftCell="A4" activePane="bottomLeft" state="frozen"/>
      <selection pane="bottomLeft" activeCell="C20" sqref="C20:M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PITTSFIELD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2010-09-24T13:29:28Z</cp:lastPrinted>
  <dcterms:created xsi:type="dcterms:W3CDTF">1997-12-04T19:04:30Z</dcterms:created>
  <dcterms:modified xsi:type="dcterms:W3CDTF">2025-01-09T20:26:16Z</dcterms:modified>
</cp:coreProperties>
</file>