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AC58246-64E3-4EF3-9CA1-48CACE9A67C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5D124C08-837A-4F80-9AFA-38086EC69E2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F40" i="2" s="1"/>
  <c r="F42" i="2" s="1"/>
  <c r="H371" i="1"/>
  <c r="H247" i="1"/>
  <c r="F25" i="1"/>
  <c r="F9" i="1"/>
  <c r="H594" i="1"/>
  <c r="I189" i="1"/>
  <c r="H194" i="1"/>
  <c r="H195" i="1"/>
  <c r="H196" i="1"/>
  <c r="I199" i="1"/>
  <c r="L199" i="1" s="1"/>
  <c r="H199" i="1"/>
  <c r="I197" i="1"/>
  <c r="L197" i="1" s="1"/>
  <c r="J194" i="1"/>
  <c r="F6" i="13" s="1"/>
  <c r="J190" i="1"/>
  <c r="F5" i="13"/>
  <c r="I190" i="1"/>
  <c r="H190" i="1"/>
  <c r="K189" i="1"/>
  <c r="J189" i="1"/>
  <c r="H189" i="1"/>
  <c r="G489" i="1"/>
  <c r="H30" i="1"/>
  <c r="E29" i="2" s="1"/>
  <c r="G432" i="1"/>
  <c r="H23" i="1"/>
  <c r="H33" i="1" s="1"/>
  <c r="D9" i="13"/>
  <c r="B20" i="12"/>
  <c r="B19" i="12"/>
  <c r="B12" i="12"/>
  <c r="B10" i="12"/>
  <c r="B13" i="12" s="1"/>
  <c r="H511" i="1"/>
  <c r="H516" i="1"/>
  <c r="J511" i="1"/>
  <c r="F511" i="1"/>
  <c r="F514" i="1" s="1"/>
  <c r="F535" i="1" s="1"/>
  <c r="K511" i="1"/>
  <c r="G511" i="1"/>
  <c r="G514" i="1" s="1"/>
  <c r="G535" i="1" s="1"/>
  <c r="H581" i="1"/>
  <c r="H582" i="1"/>
  <c r="G488" i="1"/>
  <c r="F488" i="1"/>
  <c r="G196" i="1"/>
  <c r="G190" i="1"/>
  <c r="G189" i="1"/>
  <c r="H269" i="1"/>
  <c r="H274" i="1"/>
  <c r="F274" i="1"/>
  <c r="L274" i="1" s="1"/>
  <c r="E111" i="2" s="1"/>
  <c r="J269" i="1"/>
  <c r="F269" i="1"/>
  <c r="L269" i="1" s="1"/>
  <c r="E102" i="2" s="1"/>
  <c r="J268" i="1"/>
  <c r="I268" i="1"/>
  <c r="H268" i="1"/>
  <c r="F268" i="1"/>
  <c r="B9" i="12" s="1"/>
  <c r="K196" i="1"/>
  <c r="I196" i="1"/>
  <c r="F196" i="1"/>
  <c r="I195" i="1"/>
  <c r="G195" i="1"/>
  <c r="L195" i="1" s="1"/>
  <c r="F195" i="1"/>
  <c r="I194" i="1"/>
  <c r="I203" i="1" s="1"/>
  <c r="I249" i="1" s="1"/>
  <c r="I263" i="1" s="1"/>
  <c r="G194" i="1"/>
  <c r="F194" i="1"/>
  <c r="K190" i="1"/>
  <c r="G5" i="13" s="1"/>
  <c r="F190" i="1"/>
  <c r="B18" i="12" s="1"/>
  <c r="F189" i="1"/>
  <c r="H151" i="1"/>
  <c r="H147" i="1"/>
  <c r="J171" i="1"/>
  <c r="F88" i="1"/>
  <c r="F103" i="1" s="1"/>
  <c r="H25" i="1"/>
  <c r="H13" i="1"/>
  <c r="E13" i="2" s="1"/>
  <c r="F30" i="1"/>
  <c r="C60" i="2"/>
  <c r="B2" i="13"/>
  <c r="F8" i="13"/>
  <c r="G8" i="13"/>
  <c r="L214" i="1"/>
  <c r="L232" i="1"/>
  <c r="D39" i="13"/>
  <c r="F13" i="13"/>
  <c r="G13" i="13"/>
  <c r="L198" i="1"/>
  <c r="L216" i="1"/>
  <c r="C19" i="10" s="1"/>
  <c r="L234" i="1"/>
  <c r="F16" i="13"/>
  <c r="G16" i="13"/>
  <c r="L201" i="1"/>
  <c r="L219" i="1"/>
  <c r="L237" i="1"/>
  <c r="L191" i="1"/>
  <c r="L192" i="1"/>
  <c r="L207" i="1"/>
  <c r="L208" i="1"/>
  <c r="L221" i="1" s="1"/>
  <c r="L209" i="1"/>
  <c r="L210" i="1"/>
  <c r="L225" i="1"/>
  <c r="L239" i="1" s="1"/>
  <c r="H650" i="1" s="1"/>
  <c r="H654" i="1" s="1"/>
  <c r="L226" i="1"/>
  <c r="L227" i="1"/>
  <c r="L228" i="1"/>
  <c r="G6" i="13"/>
  <c r="L212" i="1"/>
  <c r="L230" i="1"/>
  <c r="F7" i="13"/>
  <c r="G7" i="13"/>
  <c r="L213" i="1"/>
  <c r="L231" i="1"/>
  <c r="F12" i="13"/>
  <c r="G12" i="13"/>
  <c r="L215" i="1"/>
  <c r="L233" i="1"/>
  <c r="F14" i="13"/>
  <c r="G14" i="13"/>
  <c r="L217" i="1"/>
  <c r="L235" i="1"/>
  <c r="F15" i="13"/>
  <c r="G15" i="13"/>
  <c r="L200" i="1"/>
  <c r="C21" i="10" s="1"/>
  <c r="L218" i="1"/>
  <c r="C116" i="2" s="1"/>
  <c r="L236" i="1"/>
  <c r="H652" i="1" s="1"/>
  <c r="F17" i="13"/>
  <c r="G17" i="13"/>
  <c r="L243" i="1"/>
  <c r="F18" i="13"/>
  <c r="G18" i="13"/>
  <c r="L244" i="1"/>
  <c r="C106" i="2" s="1"/>
  <c r="F19" i="13"/>
  <c r="G19" i="13"/>
  <c r="L245" i="1"/>
  <c r="F29" i="13"/>
  <c r="G29" i="13"/>
  <c r="L350" i="1"/>
  <c r="L351" i="1"/>
  <c r="L352" i="1"/>
  <c r="I359" i="1"/>
  <c r="J282" i="1"/>
  <c r="J330" i="1" s="1"/>
  <c r="J344" i="1" s="1"/>
  <c r="J301" i="1"/>
  <c r="J320" i="1"/>
  <c r="K282" i="1"/>
  <c r="K301" i="1"/>
  <c r="K320" i="1"/>
  <c r="G31" i="13" s="1"/>
  <c r="L270" i="1"/>
  <c r="L271" i="1"/>
  <c r="C13" i="10" s="1"/>
  <c r="L273" i="1"/>
  <c r="L275" i="1"/>
  <c r="L276" i="1"/>
  <c r="L277" i="1"/>
  <c r="L278" i="1"/>
  <c r="L279" i="1"/>
  <c r="E116" i="2" s="1"/>
  <c r="L280" i="1"/>
  <c r="L287" i="1"/>
  <c r="L288" i="1"/>
  <c r="L289" i="1"/>
  <c r="L290" i="1"/>
  <c r="L301" i="1" s="1"/>
  <c r="L292" i="1"/>
  <c r="L293" i="1"/>
  <c r="L294" i="1"/>
  <c r="L295" i="1"/>
  <c r="L296" i="1"/>
  <c r="L297" i="1"/>
  <c r="L298" i="1"/>
  <c r="L299" i="1"/>
  <c r="L306" i="1"/>
  <c r="L307" i="1"/>
  <c r="L320" i="1"/>
  <c r="L308" i="1"/>
  <c r="E103" i="2"/>
  <c r="L309" i="1"/>
  <c r="L311" i="1"/>
  <c r="L312" i="1"/>
  <c r="L313" i="1"/>
  <c r="L314" i="1"/>
  <c r="E113" i="2" s="1"/>
  <c r="L315" i="1"/>
  <c r="L316" i="1"/>
  <c r="L317" i="1"/>
  <c r="L318" i="1"/>
  <c r="L325" i="1"/>
  <c r="E106" i="2" s="1"/>
  <c r="L326" i="1"/>
  <c r="L327" i="1"/>
  <c r="L252" i="1"/>
  <c r="L253" i="1"/>
  <c r="C25" i="10" s="1"/>
  <c r="L333" i="1"/>
  <c r="L334" i="1"/>
  <c r="L247" i="1"/>
  <c r="L328" i="1"/>
  <c r="F22" i="13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C9" i="12"/>
  <c r="B22" i="12"/>
  <c r="C18" i="12"/>
  <c r="C20" i="12" s="1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 s="1"/>
  <c r="F2" i="11"/>
  <c r="L603" i="1"/>
  <c r="H653" i="1" s="1"/>
  <c r="L602" i="1"/>
  <c r="G653" i="1" s="1"/>
  <c r="L601" i="1"/>
  <c r="F653" i="1" s="1"/>
  <c r="C40" i="10"/>
  <c r="F52" i="1"/>
  <c r="C48" i="2"/>
  <c r="G52" i="1"/>
  <c r="G104" i="1" s="1"/>
  <c r="G185" i="1" s="1"/>
  <c r="H52" i="1"/>
  <c r="E48" i="2" s="1"/>
  <c r="E55" i="2" s="1"/>
  <c r="I52" i="1"/>
  <c r="F71" i="1"/>
  <c r="F104" i="1" s="1"/>
  <c r="F86" i="1"/>
  <c r="C50" i="2"/>
  <c r="G103" i="1"/>
  <c r="H71" i="1"/>
  <c r="E49" i="2" s="1"/>
  <c r="E54" i="2" s="1"/>
  <c r="H86" i="1"/>
  <c r="H103" i="1"/>
  <c r="I103" i="1"/>
  <c r="I104" i="1"/>
  <c r="J103" i="1"/>
  <c r="J104" i="1"/>
  <c r="C37" i="10"/>
  <c r="F113" i="1"/>
  <c r="F132" i="1" s="1"/>
  <c r="F128" i="1"/>
  <c r="G113" i="1"/>
  <c r="G128" i="1"/>
  <c r="G132" i="1"/>
  <c r="H113" i="1"/>
  <c r="H128" i="1"/>
  <c r="H132" i="1"/>
  <c r="I113" i="1"/>
  <c r="I132" i="1" s="1"/>
  <c r="I128" i="1"/>
  <c r="J113" i="1"/>
  <c r="J128" i="1"/>
  <c r="J132" i="1" s="1"/>
  <c r="J185" i="1" s="1"/>
  <c r="F139" i="1"/>
  <c r="F161" i="1" s="1"/>
  <c r="C39" i="10" s="1"/>
  <c r="F154" i="1"/>
  <c r="G139" i="1"/>
  <c r="G154" i="1"/>
  <c r="G161" i="1"/>
  <c r="H139" i="1"/>
  <c r="H161" i="1" s="1"/>
  <c r="H154" i="1"/>
  <c r="I139" i="1"/>
  <c r="I154" i="1"/>
  <c r="I161" i="1" s="1"/>
  <c r="C12" i="10"/>
  <c r="L242" i="1"/>
  <c r="L324" i="1"/>
  <c r="C23" i="10"/>
  <c r="L246" i="1"/>
  <c r="L260" i="1"/>
  <c r="L261" i="1"/>
  <c r="C26" i="10" s="1"/>
  <c r="L341" i="1"/>
  <c r="L342" i="1"/>
  <c r="I655" i="1"/>
  <c r="I660" i="1"/>
  <c r="G651" i="1"/>
  <c r="I659" i="1"/>
  <c r="C6" i="10"/>
  <c r="C5" i="10"/>
  <c r="C42" i="10"/>
  <c r="C32" i="10"/>
  <c r="L366" i="1"/>
  <c r="F122" i="2" s="1"/>
  <c r="F136" i="2" s="1"/>
  <c r="F137" i="2" s="1"/>
  <c r="L367" i="1"/>
  <c r="L368" i="1"/>
  <c r="L369" i="1"/>
  <c r="L370" i="1"/>
  <c r="L371" i="1"/>
  <c r="L372" i="1"/>
  <c r="C29" i="10"/>
  <c r="B2" i="10"/>
  <c r="L336" i="1"/>
  <c r="L337" i="1"/>
  <c r="L338" i="1"/>
  <c r="L343" i="1" s="1"/>
  <c r="L339" i="1"/>
  <c r="K343" i="1"/>
  <c r="L512" i="1"/>
  <c r="F540" i="1" s="1"/>
  <c r="L513" i="1"/>
  <c r="F541" i="1" s="1"/>
  <c r="L516" i="1"/>
  <c r="G539" i="1"/>
  <c r="L517" i="1"/>
  <c r="G540" i="1"/>
  <c r="L518" i="1"/>
  <c r="G541" i="1"/>
  <c r="L521" i="1"/>
  <c r="H539" i="1"/>
  <c r="H542" i="1" s="1"/>
  <c r="L522" i="1"/>
  <c r="H540" i="1" s="1"/>
  <c r="L523" i="1"/>
  <c r="H541" i="1"/>
  <c r="L526" i="1"/>
  <c r="I539" i="1"/>
  <c r="L527" i="1"/>
  <c r="I540" i="1"/>
  <c r="L528" i="1"/>
  <c r="I541" i="1" s="1"/>
  <c r="I542" i="1" s="1"/>
  <c r="L531" i="1"/>
  <c r="L534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 s="1"/>
  <c r="C10" i="2"/>
  <c r="C19" i="2" s="1"/>
  <c r="D10" i="2"/>
  <c r="E10" i="2"/>
  <c r="E19" i="2" s="1"/>
  <c r="F10" i="2"/>
  <c r="I432" i="1"/>
  <c r="J10" i="1"/>
  <c r="C11" i="2"/>
  <c r="C12" i="2"/>
  <c r="D12" i="2"/>
  <c r="E12" i="2"/>
  <c r="F12" i="2"/>
  <c r="I433" i="1"/>
  <c r="J12" i="1"/>
  <c r="G12" i="2" s="1"/>
  <c r="C13" i="2"/>
  <c r="D13" i="2"/>
  <c r="F13" i="2"/>
  <c r="I434" i="1"/>
  <c r="J13" i="1"/>
  <c r="G13" i="2" s="1"/>
  <c r="C14" i="2"/>
  <c r="D14" i="2"/>
  <c r="E14" i="2"/>
  <c r="F14" i="2"/>
  <c r="F19" i="2" s="1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D32" i="2" s="1"/>
  <c r="F22" i="2"/>
  <c r="F32" i="2" s="1"/>
  <c r="I440" i="1"/>
  <c r="J23" i="1" s="1"/>
  <c r="C23" i="2"/>
  <c r="D23" i="2"/>
  <c r="E23" i="2"/>
  <c r="F23" i="2"/>
  <c r="I441" i="1"/>
  <c r="J24" i="1"/>
  <c r="G23" i="2" s="1"/>
  <c r="C24" i="2"/>
  <c r="C32" i="2" s="1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C36" i="2"/>
  <c r="D36" i="2"/>
  <c r="D42" i="2" s="1"/>
  <c r="D43" i="2" s="1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D41" i="2"/>
  <c r="E41" i="2"/>
  <c r="F41" i="2"/>
  <c r="D48" i="2"/>
  <c r="F48" i="2"/>
  <c r="C49" i="2"/>
  <c r="E50" i="2"/>
  <c r="D51" i="2"/>
  <c r="D54" i="2" s="1"/>
  <c r="D55" i="2" s="1"/>
  <c r="E51" i="2"/>
  <c r="F51" i="2"/>
  <c r="D52" i="2"/>
  <c r="C53" i="2"/>
  <c r="D53" i="2"/>
  <c r="E53" i="2"/>
  <c r="F53" i="2"/>
  <c r="C58" i="2"/>
  <c r="C59" i="2"/>
  <c r="C61" i="2"/>
  <c r="C62" i="2" s="1"/>
  <c r="D61" i="2"/>
  <c r="E61" i="2"/>
  <c r="E62" i="2" s="1"/>
  <c r="E73" i="2" s="1"/>
  <c r="F61" i="2"/>
  <c r="F62" i="2"/>
  <c r="G61" i="2"/>
  <c r="G62" i="2"/>
  <c r="D62" i="2"/>
  <c r="C64" i="2"/>
  <c r="F64" i="2"/>
  <c r="C65" i="2"/>
  <c r="F65" i="2"/>
  <c r="F70" i="2" s="1"/>
  <c r="F73" i="2" s="1"/>
  <c r="C66" i="2"/>
  <c r="C67" i="2"/>
  <c r="C70" i="2" s="1"/>
  <c r="C73" i="2" s="1"/>
  <c r="C68" i="2"/>
  <c r="E68" i="2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D77" i="2"/>
  <c r="E77" i="2"/>
  <c r="F77" i="2"/>
  <c r="C79" i="2"/>
  <c r="E79" i="2"/>
  <c r="F79" i="2"/>
  <c r="C80" i="2"/>
  <c r="D80" i="2"/>
  <c r="D83" i="2" s="1"/>
  <c r="E80" i="2"/>
  <c r="E83" i="2" s="1"/>
  <c r="F80" i="2"/>
  <c r="C81" i="2"/>
  <c r="D81" i="2"/>
  <c r="E81" i="2"/>
  <c r="F81" i="2"/>
  <c r="C82" i="2"/>
  <c r="C85" i="2"/>
  <c r="F85" i="2"/>
  <c r="C86" i="2"/>
  <c r="F86" i="2"/>
  <c r="D88" i="2"/>
  <c r="D95" i="2" s="1"/>
  <c r="E88" i="2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F95" i="2" s="1"/>
  <c r="C94" i="2"/>
  <c r="D94" i="2"/>
  <c r="E94" i="2"/>
  <c r="F94" i="2"/>
  <c r="C103" i="2"/>
  <c r="C104" i="2"/>
  <c r="C105" i="2"/>
  <c r="D107" i="2"/>
  <c r="F107" i="2"/>
  <c r="G107" i="2"/>
  <c r="E110" i="2"/>
  <c r="E120" i="2" s="1"/>
  <c r="E112" i="2"/>
  <c r="E114" i="2"/>
  <c r="E115" i="2"/>
  <c r="C117" i="2"/>
  <c r="E117" i="2"/>
  <c r="D119" i="2"/>
  <c r="D120" i="2" s="1"/>
  <c r="D137" i="2" s="1"/>
  <c r="F120" i="2"/>
  <c r="G120" i="2"/>
  <c r="C122" i="2"/>
  <c r="E122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 s="1"/>
  <c r="C134" i="2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D149" i="2"/>
  <c r="G149" i="2" s="1"/>
  <c r="E149" i="2"/>
  <c r="F149" i="2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C152" i="2"/>
  <c r="G152" i="2" s="1"/>
  <c r="D152" i="2"/>
  <c r="E152" i="2"/>
  <c r="F152" i="2"/>
  <c r="F490" i="1"/>
  <c r="K490" i="1" s="1"/>
  <c r="B153" i="2"/>
  <c r="G490" i="1"/>
  <c r="C153" i="2" s="1"/>
  <c r="H490" i="1"/>
  <c r="D153" i="2" s="1"/>
  <c r="I490" i="1"/>
  <c r="E153" i="2" s="1"/>
  <c r="J490" i="1"/>
  <c r="F153" i="2" s="1"/>
  <c r="B154" i="2"/>
  <c r="C154" i="2"/>
  <c r="D154" i="2"/>
  <c r="E154" i="2"/>
  <c r="G154" i="2" s="1"/>
  <c r="F154" i="2"/>
  <c r="B155" i="2"/>
  <c r="C155" i="2"/>
  <c r="D155" i="2"/>
  <c r="E155" i="2"/>
  <c r="F155" i="2"/>
  <c r="F493" i="1"/>
  <c r="B156" i="2" s="1"/>
  <c r="G493" i="1"/>
  <c r="C156" i="2"/>
  <c r="H493" i="1"/>
  <c r="D156" i="2"/>
  <c r="I493" i="1"/>
  <c r="E156" i="2" s="1"/>
  <c r="J493" i="1"/>
  <c r="F156" i="2" s="1"/>
  <c r="F19" i="1"/>
  <c r="F42" i="1" s="1"/>
  <c r="G19" i="1"/>
  <c r="G608" i="1" s="1"/>
  <c r="I19" i="1"/>
  <c r="F33" i="1"/>
  <c r="G33" i="1"/>
  <c r="I33" i="1"/>
  <c r="G43" i="1"/>
  <c r="G44" i="1" s="1"/>
  <c r="H608" i="1" s="1"/>
  <c r="F169" i="1"/>
  <c r="F184" i="1" s="1"/>
  <c r="I169" i="1"/>
  <c r="I184" i="1" s="1"/>
  <c r="F175" i="1"/>
  <c r="G175" i="1"/>
  <c r="G184" i="1" s="1"/>
  <c r="H175" i="1"/>
  <c r="H184" i="1"/>
  <c r="I175" i="1"/>
  <c r="J175" i="1"/>
  <c r="J184" i="1" s="1"/>
  <c r="F180" i="1"/>
  <c r="G180" i="1"/>
  <c r="H180" i="1"/>
  <c r="I180" i="1"/>
  <c r="F203" i="1"/>
  <c r="F249" i="1" s="1"/>
  <c r="F263" i="1" s="1"/>
  <c r="G203" i="1"/>
  <c r="G249" i="1" s="1"/>
  <c r="G263" i="1" s="1"/>
  <c r="H203" i="1"/>
  <c r="J203" i="1"/>
  <c r="J249" i="1" s="1"/>
  <c r="K203" i="1"/>
  <c r="K249" i="1"/>
  <c r="K263" i="1" s="1"/>
  <c r="F221" i="1"/>
  <c r="G221" i="1"/>
  <c r="H221" i="1"/>
  <c r="I221" i="1"/>
  <c r="J221" i="1"/>
  <c r="K221" i="1"/>
  <c r="F239" i="1"/>
  <c r="G239" i="1"/>
  <c r="H239" i="1"/>
  <c r="H249" i="1" s="1"/>
  <c r="H263" i="1" s="1"/>
  <c r="I239" i="1"/>
  <c r="J239" i="1"/>
  <c r="K239" i="1"/>
  <c r="F248" i="1"/>
  <c r="G248" i="1"/>
  <c r="H248" i="1"/>
  <c r="I248" i="1"/>
  <c r="J248" i="1"/>
  <c r="L248" i="1" s="1"/>
  <c r="K248" i="1"/>
  <c r="L262" i="1"/>
  <c r="G282" i="1"/>
  <c r="H282" i="1"/>
  <c r="H330" i="1" s="1"/>
  <c r="H344" i="1" s="1"/>
  <c r="I282" i="1"/>
  <c r="I330" i="1" s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K330" i="1" s="1"/>
  <c r="K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L374" i="1"/>
  <c r="I462" i="1" s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F393" i="1"/>
  <c r="F400" i="1" s="1"/>
  <c r="H633" i="1" s="1"/>
  <c r="J633" i="1" s="1"/>
  <c r="G393" i="1"/>
  <c r="G400" i="1" s="1"/>
  <c r="H635" i="1" s="1"/>
  <c r="J635" i="1" s="1"/>
  <c r="H393" i="1"/>
  <c r="I393" i="1"/>
  <c r="F399" i="1"/>
  <c r="G399" i="1"/>
  <c r="H399" i="1"/>
  <c r="I399" i="1"/>
  <c r="I400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38" i="1"/>
  <c r="G629" i="1" s="1"/>
  <c r="G438" i="1"/>
  <c r="G449" i="1" s="1"/>
  <c r="G450" i="1" s="1"/>
  <c r="H438" i="1"/>
  <c r="G631" i="1" s="1"/>
  <c r="J631" i="1" s="1"/>
  <c r="I438" i="1"/>
  <c r="F444" i="1"/>
  <c r="G444" i="1"/>
  <c r="G451" i="1" s="1"/>
  <c r="H630" i="1" s="1"/>
  <c r="J630" i="1" s="1"/>
  <c r="H444" i="1"/>
  <c r="H451" i="1"/>
  <c r="H631" i="1" s="1"/>
  <c r="H450" i="1"/>
  <c r="K485" i="1"/>
  <c r="K486" i="1"/>
  <c r="K487" i="1"/>
  <c r="K488" i="1"/>
  <c r="K489" i="1"/>
  <c r="K491" i="1"/>
  <c r="K492" i="1"/>
  <c r="F507" i="1"/>
  <c r="G507" i="1"/>
  <c r="H507" i="1"/>
  <c r="I507" i="1"/>
  <c r="H514" i="1"/>
  <c r="H535" i="1" s="1"/>
  <c r="I514" i="1"/>
  <c r="J514" i="1"/>
  <c r="J535" i="1" s="1"/>
  <c r="K514" i="1"/>
  <c r="K535" i="1" s="1"/>
  <c r="F519" i="1"/>
  <c r="G519" i="1"/>
  <c r="H519" i="1"/>
  <c r="I519" i="1"/>
  <c r="J519" i="1"/>
  <c r="K519" i="1"/>
  <c r="L519" i="1"/>
  <c r="F524" i="1"/>
  <c r="G524" i="1"/>
  <c r="H524" i="1"/>
  <c r="I524" i="1"/>
  <c r="I535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 s="1"/>
  <c r="H550" i="1"/>
  <c r="H561" i="1" s="1"/>
  <c r="I550" i="1"/>
  <c r="I561" i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H639" i="1"/>
  <c r="I588" i="1"/>
  <c r="H640" i="1" s="1"/>
  <c r="J588" i="1"/>
  <c r="H641" i="1" s="1"/>
  <c r="J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24" i="1"/>
  <c r="J624" i="1" s="1"/>
  <c r="G632" i="1"/>
  <c r="G633" i="1"/>
  <c r="G634" i="1"/>
  <c r="G639" i="1"/>
  <c r="J639" i="1" s="1"/>
  <c r="G640" i="1"/>
  <c r="G641" i="1"/>
  <c r="G642" i="1"/>
  <c r="H642" i="1"/>
  <c r="J642" i="1"/>
  <c r="G643" i="1"/>
  <c r="J643" i="1" s="1"/>
  <c r="H643" i="1"/>
  <c r="G644" i="1"/>
  <c r="H644" i="1"/>
  <c r="J644" i="1"/>
  <c r="G645" i="1"/>
  <c r="H645" i="1"/>
  <c r="J645" i="1"/>
  <c r="D18" i="13"/>
  <c r="C18" i="13" s="1"/>
  <c r="D15" i="13"/>
  <c r="C15" i="13" s="1"/>
  <c r="G635" i="1"/>
  <c r="E105" i="2"/>
  <c r="F651" i="1"/>
  <c r="I651" i="1" s="1"/>
  <c r="E95" i="2"/>
  <c r="F83" i="2"/>
  <c r="F54" i="2"/>
  <c r="F55" i="2"/>
  <c r="E13" i="13"/>
  <c r="C13" i="13" s="1"/>
  <c r="E70" i="2"/>
  <c r="D29" i="13"/>
  <c r="C29" i="13" s="1"/>
  <c r="H651" i="1"/>
  <c r="L354" i="1"/>
  <c r="G625" i="1" s="1"/>
  <c r="H25" i="13"/>
  <c r="C95" i="2"/>
  <c r="G10" i="2"/>
  <c r="G151" i="2"/>
  <c r="G155" i="2"/>
  <c r="D19" i="2"/>
  <c r="K595" i="1"/>
  <c r="G638" i="1" s="1"/>
  <c r="L189" i="1"/>
  <c r="L196" i="1"/>
  <c r="E8" i="13" s="1"/>
  <c r="L190" i="1"/>
  <c r="C102" i="2" s="1"/>
  <c r="L419" i="1"/>
  <c r="H33" i="13"/>
  <c r="C25" i="13"/>
  <c r="C22" i="13"/>
  <c r="G462" i="1"/>
  <c r="G464" i="1" s="1"/>
  <c r="C112" i="2"/>
  <c r="C17" i="10"/>
  <c r="G542" i="1"/>
  <c r="G630" i="1"/>
  <c r="A40" i="12"/>
  <c r="D19" i="13"/>
  <c r="C19" i="13" s="1"/>
  <c r="D17" i="13"/>
  <c r="C17" i="13" s="1"/>
  <c r="E16" i="13"/>
  <c r="C16" i="13" s="1"/>
  <c r="C10" i="12"/>
  <c r="C13" i="12" s="1"/>
  <c r="C19" i="12"/>
  <c r="C11" i="12"/>
  <c r="C12" i="12"/>
  <c r="J640" i="1" l="1"/>
  <c r="G156" i="2"/>
  <c r="K541" i="1"/>
  <c r="I653" i="1"/>
  <c r="J625" i="1"/>
  <c r="C130" i="2"/>
  <c r="C133" i="2" s="1"/>
  <c r="L400" i="1"/>
  <c r="G9" i="2"/>
  <c r="G19" i="2" s="1"/>
  <c r="J19" i="1"/>
  <c r="G611" i="1" s="1"/>
  <c r="C115" i="2"/>
  <c r="D14" i="13"/>
  <c r="C14" i="13" s="1"/>
  <c r="C20" i="10"/>
  <c r="C8" i="13"/>
  <c r="E33" i="13"/>
  <c r="D35" i="13" s="1"/>
  <c r="G36" i="2"/>
  <c r="K540" i="1"/>
  <c r="C111" i="2"/>
  <c r="C16" i="10"/>
  <c r="D7" i="13"/>
  <c r="C7" i="13" s="1"/>
  <c r="J634" i="1"/>
  <c r="G153" i="2"/>
  <c r="J33" i="1"/>
  <c r="G22" i="2"/>
  <c r="G32" i="2" s="1"/>
  <c r="C21" i="12"/>
  <c r="C22" i="12" s="1"/>
  <c r="A22" i="12" s="1"/>
  <c r="G650" i="1"/>
  <c r="H662" i="1"/>
  <c r="H657" i="1"/>
  <c r="I464" i="1"/>
  <c r="H626" i="1"/>
  <c r="J608" i="1"/>
  <c r="D96" i="2"/>
  <c r="C41" i="2"/>
  <c r="C42" i="2" s="1"/>
  <c r="C43" i="2" s="1"/>
  <c r="F43" i="1"/>
  <c r="C38" i="10"/>
  <c r="F185" i="1"/>
  <c r="C54" i="2"/>
  <c r="C55" i="2" s="1"/>
  <c r="C96" i="2" s="1"/>
  <c r="G621" i="1"/>
  <c r="G636" i="1"/>
  <c r="G96" i="2"/>
  <c r="A13" i="12"/>
  <c r="H638" i="1"/>
  <c r="J638" i="1" s="1"/>
  <c r="J263" i="1"/>
  <c r="F96" i="2"/>
  <c r="E96" i="2"/>
  <c r="G458" i="1"/>
  <c r="G618" i="1"/>
  <c r="G33" i="13"/>
  <c r="D5" i="13"/>
  <c r="F33" i="13"/>
  <c r="L426" i="1"/>
  <c r="I185" i="1"/>
  <c r="C18" i="10"/>
  <c r="D12" i="13"/>
  <c r="C12" i="13" s="1"/>
  <c r="C113" i="2"/>
  <c r="F43" i="2"/>
  <c r="C35" i="10"/>
  <c r="C24" i="10"/>
  <c r="G613" i="1"/>
  <c r="F449" i="1"/>
  <c r="F282" i="1"/>
  <c r="F330" i="1" s="1"/>
  <c r="F344" i="1" s="1"/>
  <c r="I43" i="1"/>
  <c r="G607" i="1"/>
  <c r="C135" i="2"/>
  <c r="C51" i="2"/>
  <c r="E22" i="2"/>
  <c r="E32" i="2" s="1"/>
  <c r="J539" i="1"/>
  <c r="J542" i="1" s="1"/>
  <c r="G652" i="1"/>
  <c r="E104" i="2"/>
  <c r="F31" i="13"/>
  <c r="F652" i="1"/>
  <c r="H637" i="1"/>
  <c r="J637" i="1" s="1"/>
  <c r="L604" i="1"/>
  <c r="C11" i="10"/>
  <c r="L203" i="1"/>
  <c r="E129" i="2"/>
  <c r="E136" i="2" s="1"/>
  <c r="L511" i="1"/>
  <c r="C101" i="2"/>
  <c r="C107" i="2" s="1"/>
  <c r="L268" i="1"/>
  <c r="H625" i="1"/>
  <c r="G626" i="1"/>
  <c r="J626" i="1" s="1"/>
  <c r="C114" i="2"/>
  <c r="C77" i="2"/>
  <c r="C83" i="2" s="1"/>
  <c r="L524" i="1"/>
  <c r="L194" i="1"/>
  <c r="C27" i="10"/>
  <c r="I444" i="1"/>
  <c r="H19" i="1"/>
  <c r="K493" i="1"/>
  <c r="H104" i="1"/>
  <c r="H185" i="1" s="1"/>
  <c r="G620" i="1" l="1"/>
  <c r="I458" i="1"/>
  <c r="F458" i="1"/>
  <c r="G617" i="1"/>
  <c r="E101" i="2"/>
  <c r="E107" i="2" s="1"/>
  <c r="E137" i="2" s="1"/>
  <c r="L282" i="1"/>
  <c r="H618" i="1"/>
  <c r="G460" i="1"/>
  <c r="G466" i="1" s="1"/>
  <c r="H613" i="1" s="1"/>
  <c r="H458" i="1"/>
  <c r="G619" i="1"/>
  <c r="C36" i="10"/>
  <c r="G654" i="1"/>
  <c r="F539" i="1"/>
  <c r="L514" i="1"/>
  <c r="L535" i="1" s="1"/>
  <c r="C136" i="2"/>
  <c r="G612" i="1"/>
  <c r="F44" i="1"/>
  <c r="H607" i="1" s="1"/>
  <c r="G627" i="1"/>
  <c r="H636" i="1"/>
  <c r="J458" i="1"/>
  <c r="L249" i="1"/>
  <c r="L263" i="1" s="1"/>
  <c r="J462" i="1"/>
  <c r="G628" i="1"/>
  <c r="C110" i="2"/>
  <c r="C120" i="2" s="1"/>
  <c r="C137" i="2" s="1"/>
  <c r="C15" i="10"/>
  <c r="D6" i="13"/>
  <c r="C6" i="13" s="1"/>
  <c r="C5" i="13"/>
  <c r="I652" i="1"/>
  <c r="J613" i="1"/>
  <c r="J636" i="1"/>
  <c r="G609" i="1"/>
  <c r="H41" i="1"/>
  <c r="J607" i="1"/>
  <c r="I44" i="1"/>
  <c r="H610" i="1" s="1"/>
  <c r="J610" i="1" s="1"/>
  <c r="G615" i="1"/>
  <c r="I449" i="1"/>
  <c r="F450" i="1"/>
  <c r="F451" i="1" s="1"/>
  <c r="H629" i="1" s="1"/>
  <c r="J629" i="1" s="1"/>
  <c r="J618" i="1"/>
  <c r="C10" i="10"/>
  <c r="G622" i="1" l="1"/>
  <c r="F462" i="1"/>
  <c r="L330" i="1"/>
  <c r="L344" i="1" s="1"/>
  <c r="D31" i="13"/>
  <c r="C31" i="13" s="1"/>
  <c r="C28" i="10"/>
  <c r="D10" i="10"/>
  <c r="H43" i="1"/>
  <c r="E40" i="2"/>
  <c r="E42" i="2" s="1"/>
  <c r="E43" i="2" s="1"/>
  <c r="J464" i="1"/>
  <c r="H628" i="1"/>
  <c r="J628" i="1" s="1"/>
  <c r="K539" i="1"/>
  <c r="K542" i="1" s="1"/>
  <c r="F542" i="1"/>
  <c r="D36" i="10"/>
  <c r="J617" i="1"/>
  <c r="G662" i="1"/>
  <c r="G657" i="1"/>
  <c r="C41" i="10"/>
  <c r="H627" i="1"/>
  <c r="J460" i="1"/>
  <c r="J466" i="1" s="1"/>
  <c r="H616" i="1" s="1"/>
  <c r="H621" i="1"/>
  <c r="J621" i="1" s="1"/>
  <c r="I450" i="1"/>
  <c r="I451" i="1" s="1"/>
  <c r="H632" i="1" s="1"/>
  <c r="J632" i="1" s="1"/>
  <c r="J41" i="1"/>
  <c r="H617" i="1"/>
  <c r="F460" i="1"/>
  <c r="J615" i="1"/>
  <c r="J627" i="1"/>
  <c r="J619" i="1"/>
  <c r="I460" i="1"/>
  <c r="I466" i="1" s="1"/>
  <c r="H615" i="1" s="1"/>
  <c r="H620" i="1"/>
  <c r="J620" i="1" s="1"/>
  <c r="F650" i="1"/>
  <c r="D33" i="13"/>
  <c r="D36" i="13" s="1"/>
  <c r="H460" i="1"/>
  <c r="H619" i="1"/>
  <c r="D40" i="10" l="1"/>
  <c r="D37" i="10"/>
  <c r="D39" i="10"/>
  <c r="D35" i="10"/>
  <c r="D38" i="10"/>
  <c r="D23" i="10"/>
  <c r="D22" i="10"/>
  <c r="C30" i="10"/>
  <c r="D17" i="10"/>
  <c r="D19" i="10"/>
  <c r="D26" i="10"/>
  <c r="D25" i="10"/>
  <c r="D13" i="10"/>
  <c r="D21" i="10"/>
  <c r="D12" i="10"/>
  <c r="D24" i="10"/>
  <c r="D16" i="10"/>
  <c r="D11" i="10"/>
  <c r="D28" i="10" s="1"/>
  <c r="D20" i="10"/>
  <c r="D27" i="10"/>
  <c r="D18" i="10"/>
  <c r="G614" i="1"/>
  <c r="H44" i="1"/>
  <c r="H609" i="1" s="1"/>
  <c r="J609" i="1" s="1"/>
  <c r="F654" i="1"/>
  <c r="I650" i="1"/>
  <c r="I654" i="1" s="1"/>
  <c r="D15" i="10"/>
  <c r="H462" i="1"/>
  <c r="G623" i="1"/>
  <c r="G40" i="2"/>
  <c r="G42" i="2" s="1"/>
  <c r="G43" i="2" s="1"/>
  <c r="J43" i="1"/>
  <c r="H622" i="1"/>
  <c r="J622" i="1" s="1"/>
  <c r="F464" i="1"/>
  <c r="F466" i="1" s="1"/>
  <c r="H612" i="1" s="1"/>
  <c r="J612" i="1" s="1"/>
  <c r="F662" i="1" l="1"/>
  <c r="C4" i="10" s="1"/>
  <c r="F657" i="1"/>
  <c r="D41" i="10"/>
  <c r="J44" i="1"/>
  <c r="H611" i="1" s="1"/>
  <c r="J611" i="1" s="1"/>
  <c r="G616" i="1"/>
  <c r="J616" i="1" s="1"/>
  <c r="H464" i="1"/>
  <c r="H466" i="1" s="1"/>
  <c r="H614" i="1" s="1"/>
  <c r="J614" i="1" s="1"/>
  <c r="H623" i="1"/>
  <c r="J623" i="1" s="1"/>
  <c r="I662" i="1"/>
  <c r="C7" i="10" s="1"/>
  <c r="I657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E5F22C1-FD34-404F-A2EB-A1130CFF677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4F01024-32A2-4E00-9E02-A0B832C3EAD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E22E22D-80A5-4E31-9854-D27A9AA57EFD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C4C66CB-189D-4054-8DC5-D24B9738C4F5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15D3CF4D-7B08-462F-B8EA-166374406956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84CE3FE-A54D-496E-943F-7E6335B637A0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833413EE-23EA-4AA4-9E8C-0395D1C4E66D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0BE4388A-DE96-466B-A83D-0C0F9069DE39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D1C33F3B-A4CD-4548-9670-9590FFB740E0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1A03FF17-8EA6-4C11-9F4D-7DEEB5E7364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741D8AA5-58E1-4959-86E2-A02746AD732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F9429B6-E026-49DA-A0B1-1F1D3E85CC37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<sst xmlns="http://schemas.openxmlformats.org/spreadsheetml/2006/main" count="3863" uniqueCount="900">
  <si>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</si>
  <si>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</si>
  <si>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</si>
  <si>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</si>
  <si>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</si>
  <si>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</si>
  <si>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</si>
  <si>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</si>
  <si>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</si>
  <si>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</si>
  <si>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</si>
  <si>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</si>
  <si>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</si>
  <si>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</si>
  <si>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</si>
  <si>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</si>
  <si>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</si>
  <si>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</si>
  <si>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</si>
  <si>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</si>
  <si>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</si>
  <si>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</si>
  <si>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</si>
  <si>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</si>
  <si>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</si>
  <si>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</si>
  <si>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</si>
  <si>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</si>
  <si>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</si>
  <si>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</si>
  <si>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</si>
  <si>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</si>
  <si>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</si>
  <si>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</si>
  <si>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</si>
  <si>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</si>
  <si>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</si>
  <si>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</si>
  <si>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</si>
  <si>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</si>
  <si>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</si>
  <si>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</si>
  <si>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</si>
  <si>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</si>
  <si>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</si>
  <si>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</si>
  <si>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</si>
  <si>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</si>
  <si>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</si>
  <si>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</si>
  <si>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</si>
  <si>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</si>
  <si>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</si>
  <si>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</si>
  <si>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</si>
  <si>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</si>
  <si>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</si>
  <si>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</si>
  <si>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</si>
  <si>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</si>
  <si>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</si>
  <si>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</si>
  <si>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</si>
  <si>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</si>
  <si>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</si>
  <si>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</si>
  <si>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</si>
  <si>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</si>
  <si>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</si>
  <si>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</si>
  <si>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</si>
  <si>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</si>
  <si>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</si>
  <si>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</si>
  <si>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</si>
  <si>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</si>
  <si>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</si>
  <si>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</si>
  <si>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</si>
  <si>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</si>
  <si>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</si>
  <si>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</si>
  <si>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</si>
  <si>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</si>
  <si>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</si>
  <si>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</si>
  <si>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</si>
  <si>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</si>
  <si>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</si>
  <si>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</si>
  <si>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</si>
  <si>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</si>
  <si>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</si>
  <si>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</si>
  <si>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</si>
  <si>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</si>
  <si>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</si>
  <si>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</si>
  <si>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</si>
  <si>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</si>
  <si>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</si>
  <si>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</si>
  <si>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</si>
  <si>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</si>
  <si>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</si>
  <si>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</si>
  <si>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</si>
  <si>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</si>
  <si>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</si>
  <si>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</si>
  <si>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</si>
  <si>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</si>
  <si>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</si>
  <si>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</si>
  <si>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</si>
  <si>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</si>
  <si>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</si>
  <si>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</si>
  <si>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</si>
  <si>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</si>
  <si>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</si>
  <si>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</si>
  <si>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</si>
  <si>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</si>
  <si>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</si>
  <si>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</si>
  <si>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</si>
  <si>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</si>
  <si>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</si>
  <si>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</si>
  <si>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</si>
  <si>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</si>
  <si>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</si>
  <si>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</si>
  <si>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</si>
  <si>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</si>
  <si>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</si>
  <si>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</si>
  <si>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</si>
  <si>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</si>
  <si>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</si>
  <si>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</si>
  <si>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</si>
  <si>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</si>
  <si>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</si>
  <si>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</si>
  <si>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</si>
  <si>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</si>
  <si>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</si>
  <si>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</si>
  <si>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</si>
  <si>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</si>
  <si>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</si>
  <si>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</si>
  <si>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</si>
  <si>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</si>
  <si>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</si>
  <si>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</si>
  <si>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</si>
  <si>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</si>
  <si>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</si>
  <si>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</si>
  <si>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</si>
  <si>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</si>
  <si>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</si>
  <si>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</si>
  <si>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</si>
  <si>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</si>
  <si>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</si>
  <si>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</si>
  <si>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</si>
  <si>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</si>
  <si>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</si>
  <si>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</si>
  <si>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</si>
  <si>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</si>
  <si>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</si>
  <si>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</si>
  <si>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</si>
  <si>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</si>
  <si>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</si>
  <si>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</si>
  <si>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</si>
  <si>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</si>
  <si>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</si>
  <si>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</si>
  <si>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</si>
  <si>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</si>
  <si>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</si>
  <si>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</si>
  <si>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</si>
  <si>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</si>
  <si>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</si>
  <si>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</si>
  <si>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</si>
  <si>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</si>
  <si>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</si>
  <si>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</si>
  <si>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</si>
  <si>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</si>
  <si>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</si>
  <si>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</si>
  <si>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</si>
  <si>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</si>
  <si>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</si>
  <si>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</si>
  <si>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</si>
  <si>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</si>
  <si>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</si>
  <si>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</si>
  <si>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</si>
  <si>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</si>
  <si>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</si>
  <si>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</si>
  <si>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</si>
  <si>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</si>
  <si>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</si>
  <si>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</si>
  <si>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</si>
  <si>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</si>
  <si>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</si>
  <si>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</si>
  <si>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</si>
  <si>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</si>
  <si>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</si>
  <si>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</si>
  <si>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</si>
  <si>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</si>
  <si>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</si>
  <si>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</si>
  <si>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</si>
  <si>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</si>
  <si>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</si>
  <si>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</si>
  <si>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</si>
  <si>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</si>
  <si>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</si>
  <si>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</si>
  <si>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</si>
  <si>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</si>
  <si>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</si>
  <si>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</si>
  <si>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</si>
  <si>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</si>
  <si>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</si>
  <si>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</si>
  <si>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</si>
  <si>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</si>
  <si>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</si>
  <si>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</si>
  <si>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</si>
  <si>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</si>
  <si>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</si>
  <si>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</si>
  <si>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</si>
  <si>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</si>
  <si>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</si>
  <si>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</si>
  <si>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</si>
  <si>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</si>
  <si>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</si>
  <si>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</si>
  <si>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</si>
  <si>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</si>
  <si>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</si>
  <si>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</si>
  <si>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</si>
  <si>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</si>
  <si>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</si>
  <si>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</si>
  <si>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</si>
  <si>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</si>
  <si>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</si>
  <si>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</si>
  <si>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</si>
  <si>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</si>
  <si>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</si>
  <si>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</si>
  <si>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</si>
  <si>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</si>
  <si>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</si>
  <si>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</si>
  <si>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</si>
  <si>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</si>
  <si>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</si>
  <si>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</si>
  <si>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</si>
  <si>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</si>
  <si>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</si>
  <si>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</si>
  <si>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</si>
  <si>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</si>
  <si>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</si>
  <si>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</si>
  <si>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</si>
  <si>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</si>
  <si>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</si>
  <si>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</si>
  <si>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</si>
  <si>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</si>
  <si>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</si>
  <si>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</si>
  <si>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</si>
  <si>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</si>
  <si>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</si>
  <si>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</si>
  <si>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</si>
  <si>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</si>
  <si>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</si>
  <si>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</si>
  <si>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</si>
  <si>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</si>
  <si>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</si>
  <si>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</si>
  <si>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</si>
  <si>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</si>
  <si>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</si>
  <si>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</si>
  <si>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</si>
  <si>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</si>
  <si>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</si>
  <si>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</si>
  <si>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</si>
  <si>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</si>
  <si>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</si>
  <si>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</si>
  <si>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</si>
  <si>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</si>
  <si>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</si>
  <si>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</si>
  <si>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</si>
  <si>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</si>
  <si>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</si>
  <si>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</si>
  <si>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</si>
  <si>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</si>
  <si>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</si>
  <si>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</si>
  <si>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</si>
  <si>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</si>
  <si>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</si>
  <si>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</si>
  <si>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</si>
  <si>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</si>
  <si>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</si>
  <si>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</si>
  <si>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</si>
  <si>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</si>
  <si>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</si>
  <si>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</si>
  <si>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</si>
  <si>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</si>
  <si>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</si>
  <si>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</si>
  <si>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</si>
  <si>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</si>
  <si>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</si>
  <si>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</si>
  <si>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</si>
  <si>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</si>
  <si>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</si>
  <si>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</si>
  <si>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</si>
  <si>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</si>
  <si>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</si>
  <si>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</si>
  <si>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</si>
  <si>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</si>
  <si>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</si>
  <si>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</si>
  <si>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</si>
  <si>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</si>
  <si>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</si>
  <si>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</si>
  <si>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</si>
  <si>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</si>
  <si>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</si>
  <si>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</si>
  <si>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</si>
  <si>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</si>
  <si>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</si>
  <si>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</si>
  <si>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</si>
  <si>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</si>
  <si>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</si>
  <si>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</si>
  <si>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</si>
  <si>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</si>
  <si>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</si>
  <si>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</si>
  <si>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</si>
  <si>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</si>
  <si>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</si>
  <si>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</si>
  <si>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</si>
  <si>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</si>
  <si>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</si>
  <si>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</si>
  <si>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</si>
  <si>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</si>
  <si>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</si>
  <si>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</si>
  <si>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</si>
  <si>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</si>
  <si>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</si>
  <si>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</si>
  <si>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</si>
  <si>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</si>
  <si>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</si>
  <si>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</si>
  <si>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</si>
  <si>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</si>
  <si>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</si>
  <si>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</si>
  <si>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</si>
  <si>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</si>
  <si>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</si>
  <si>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</si>
  <si>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</si>
  <si>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</si>
  <si>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</si>
  <si>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</si>
  <si>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</si>
  <si>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</si>
  <si>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</si>
  <si>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</si>
  <si>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</si>
  <si>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</si>
  <si>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</si>
  <si>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</si>
  <si>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</si>
  <si>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</si>
  <si>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</si>
  <si>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</si>
  <si>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</si>
  <si>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</si>
  <si>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</si>
  <si>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</si>
  <si>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</si>
  <si>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</si>
  <si>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</si>
  <si>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</si>
  <si>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</si>
  <si>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</si>
  <si>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</si>
  <si>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</si>
  <si>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</si>
  <si>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</si>
  <si>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</si>
  <si>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</si>
  <si>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</si>
  <si>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</si>
  <si>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</si>
  <si>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</si>
  <si>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</si>
  <si>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</si>
  <si>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</si>
  <si>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</si>
  <si>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</si>
  <si>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</si>
  <si>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</si>
  <si>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</si>
  <si>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</si>
  <si>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</si>
  <si>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</si>
  <si>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</si>
  <si>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</si>
  <si>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</si>
  <si>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</si>
  <si>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</si>
  <si>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</si>
  <si>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</si>
  <si>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</si>
  <si>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</si>
  <si>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</si>
  <si>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</si>
  <si>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</si>
  <si>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</si>
  <si>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</si>
  <si>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</si>
  <si>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</si>
  <si>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</si>
  <si>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</si>
  <si>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</si>
  <si>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</si>
  <si>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</si>
  <si>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</si>
  <si>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</si>
  <si>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</si>
  <si>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</si>
  <si>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</si>
  <si>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</si>
  <si>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</si>
  <si>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</si>
  <si>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</si>
  <si>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</si>
  <si>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</si>
  <si>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</si>
  <si>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</si>
  <si>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</si>
  <si>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</si>
  <si>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</si>
  <si>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</si>
  <si>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</si>
  <si>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</si>
  <si>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</si>
  <si>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</si>
  <si>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</si>
  <si>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</si>
  <si>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</si>
  <si>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</si>
  <si>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</si>
  <si>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</si>
  <si>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</si>
  <si>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</si>
  <si>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</si>
  <si>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</si>
  <si>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</si>
  <si>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</si>
  <si>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</si>
  <si>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</si>
  <si>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</si>
  <si>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</si>
  <si>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</si>
  <si>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</si>
  <si>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</si>
  <si>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</si>
  <si>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</si>
  <si>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</si>
  <si>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</si>
  <si>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</si>
  <si>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</si>
  <si>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</si>
  <si>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</si>
  <si>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</si>
  <si>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</si>
  <si>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</si>
  <si>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</si>
  <si>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</si>
  <si>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</si>
  <si>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</si>
  <si>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</si>
  <si>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</si>
  <si>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</si>
  <si>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</si>
  <si>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</si>
  <si>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</si>
  <si>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</si>
  <si>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</si>
  <si>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</si>
  <si>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</si>
  <si>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</si>
  <si>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</si>
  <si>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</si>
  <si>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</si>
  <si>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</si>
  <si>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</si>
  <si>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</si>
  <si>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</si>
  <si>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</si>
  <si>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</si>
  <si>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</si>
  <si>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</si>
  <si>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</si>
  <si>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</si>
  <si>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</si>
  <si>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</si>
  <si>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</si>
  <si>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</si>
  <si>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</si>
  <si>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</si>
  <si>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</si>
  <si>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</si>
  <si>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</si>
  <si>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</si>
  <si>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</si>
  <si>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</si>
  <si>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</si>
  <si>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</si>
  <si>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</si>
  <si>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</si>
  <si>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</si>
  <si>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</si>
  <si>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</si>
  <si>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</si>
  <si>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</si>
  <si>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</si>
  <si>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</si>
  <si>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</si>
  <si>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</si>
  <si>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</si>
  <si>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</si>
  <si>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</si>
  <si>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</si>
  <si>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</si>
  <si>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</si>
  <si>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</si>
  <si>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</si>
  <si>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</si>
  <si>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</si>
  <si>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</si>
  <si>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</si>
  <si>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</si>
  <si>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</si>
  <si>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</si>
  <si>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</si>
  <si>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</si>
  <si>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</si>
  <si>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</si>
  <si>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</si>
  <si>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</si>
  <si>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</si>
  <si>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</si>
  <si>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</si>
  <si>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</si>
  <si>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</si>
  <si>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</si>
  <si>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</si>
  <si>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</si>
  <si>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</si>
  <si>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</si>
  <si>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</si>
  <si>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</si>
  <si>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</si>
  <si>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</si>
  <si>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</si>
  <si>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</si>
  <si>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</si>
  <si>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</si>
  <si>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</si>
  <si>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</si>
  <si>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</si>
  <si>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</si>
  <si>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</si>
  <si>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</si>
  <si>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</si>
  <si>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</si>
  <si>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</si>
  <si>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</si>
  <si>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</si>
  <si>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</si>
  <si>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</si>
  <si>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</si>
  <si>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</si>
  <si>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</si>
  <si>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</si>
  <si>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</si>
  <si>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</si>
  <si>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</si>
  <si>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</si>
  <si>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</si>
  <si>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</si>
  <si>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</si>
  <si>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</si>
  <si>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</si>
  <si>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</si>
  <si>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</si>
  <si>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</si>
  <si>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</si>
  <si>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</si>
  <si>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</si>
  <si>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</si>
  <si>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</si>
  <si>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</si>
  <si>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</si>
  <si>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</si>
  <si>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</si>
  <si>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</si>
  <si>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</si>
  <si>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</si>
  <si>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</si>
  <si>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</si>
  <si>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</si>
  <si>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</si>
  <si>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</si>
  <si>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</si>
  <si>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</si>
  <si>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</si>
  <si>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</si>
  <si>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</si>
  <si>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</si>
  <si>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</si>
  <si>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</si>
  <si>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</si>
  <si>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</si>
  <si>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</si>
  <si>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</si>
  <si>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</si>
  <si>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</si>
  <si>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</si>
  <si>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</si>
  <si>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</si>
  <si>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</si>
  <si>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</si>
  <si>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</si>
  <si>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</si>
  <si>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</si>
  <si>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</si>
  <si>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</si>
  <si>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</si>
  <si>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</si>
  <si>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</si>
  <si>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</si>
  <si>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</si>
  <si>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</si>
  <si>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</si>
  <si>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</si>
  <si>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</si>
  <si>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</si>
  <si>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</si>
  <si>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</si>
  <si>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</si>
  <si>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</si>
  <si>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</si>
  <si>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</si>
  <si>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</si>
  <si>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</si>
  <si>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</si>
  <si>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</si>
  <si>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</si>
  <si>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</si>
  <si>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</si>
  <si>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</si>
  <si>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</si>
  <si>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</si>
  <si>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</si>
  <si>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</si>
  <si>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</si>
  <si>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</si>
  <si>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</si>
  <si>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</si>
  <si>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</si>
  <si>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</si>
  <si>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</si>
  <si>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</si>
  <si>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</si>
  <si>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</si>
  <si>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</si>
  <si>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</si>
  <si>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</si>
  <si>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</si>
  <si>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</si>
  <si>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</si>
  <si>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</si>
  <si>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</si>
  <si>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</si>
  <si>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</si>
  <si>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</si>
  <si>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</si>
  <si>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</si>
  <si>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</si>
  <si>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</si>
  <si>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</si>
  <si>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</si>
  <si>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</si>
  <si>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</si>
  <si>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</si>
  <si>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</si>
  <si>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</si>
  <si>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</si>
  <si>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</si>
  <si>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</si>
  <si>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</si>
  <si>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</si>
  <si>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</si>
  <si>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</si>
  <si>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</si>
  <si>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</si>
  <si>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</si>
  <si>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</si>
  <si>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</si>
  <si>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</si>
  <si>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</si>
  <si>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</si>
  <si>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</si>
  <si>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</si>
  <si>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</si>
  <si>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</si>
  <si>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</si>
  <si>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</si>
  <si>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</si>
  <si>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</si>
  <si>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</si>
  <si>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</si>
  <si>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</si>
  <si>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</si>
  <si>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</si>
  <si>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</si>
  <si>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</si>
  <si>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</si>
  <si>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</si>
  <si>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</si>
  <si>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</si>
  <si>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</si>
  <si>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</si>
  <si>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</si>
  <si>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</si>
  <si>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</si>
  <si>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</si>
  <si>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</si>
  <si>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</si>
  <si>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</si>
  <si>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</si>
  <si>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</si>
  <si>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</si>
  <si>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</si>
  <si>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</si>
  <si>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</si>
  <si>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</si>
  <si>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</si>
  <si>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</si>
  <si>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</si>
  <si>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</si>
  <si>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</si>
  <si>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</si>
  <si>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</si>
  <si>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</si>
  <si>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</si>
  <si>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</si>
  <si>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</si>
  <si>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</si>
  <si>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</si>
  <si>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</si>
  <si>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</si>
  <si>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</si>
  <si>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</si>
  <si>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</si>
  <si>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</si>
  <si>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</si>
  <si>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</si>
  <si>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</si>
  <si>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</si>
  <si>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</si>
  <si>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</si>
  <si>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</si>
  <si>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</si>
  <si>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</si>
  <si>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</si>
  <si>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</si>
  <si>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</si>
  <si>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</si>
  <si>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</si>
  <si>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</si>
  <si>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</si>
  <si>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</si>
  <si>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</si>
  <si>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</si>
  <si>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</si>
  <si>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</si>
  <si>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</si>
  <si>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</si>
  <si>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</si>
  <si>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</si>
  <si>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</si>
  <si>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</si>
  <si>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</si>
  <si>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</si>
  <si>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</si>
  <si>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</si>
  <si>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</si>
  <si>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</si>
  <si>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</si>
  <si>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</si>
  <si>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</si>
  <si>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</si>
  <si>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</si>
  <si>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</si>
  <si>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</si>
  <si>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</si>
  <si>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</si>
  <si>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</si>
  <si>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</si>
  <si>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</si>
  <si>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</si>
  <si>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</si>
  <si>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</si>
  <si>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</si>
  <si>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</si>
  <si>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</si>
  <si>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</si>
  <si>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</si>
  <si>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</si>
  <si>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</si>
  <si>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</si>
  <si>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</si>
  <si>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</si>
  <si>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</si>
  <si>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</si>
  <si>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</si>
  <si>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</si>
  <si>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</si>
  <si>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</si>
  <si>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</si>
  <si>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</si>
  <si>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Plainfield School District</t>
  </si>
  <si>
    <t>7/00</t>
  </si>
  <si>
    <t>8/10</t>
  </si>
  <si>
    <t>7/07</t>
  </si>
  <si>
    <t>8/12</t>
  </si>
  <si>
    <t>Miscellaneous prior year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</si>
</sst>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8EA4-09A8-41E6-B0B9-641741EFFD0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441</v>
      </c>
      <c r="C2" s="21">
        <v>441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119534.22+100+7595.11</f>
        <v>127229.33</v>
      </c>
      <c r="G9" s="18"/>
      <c r="H9" s="18"/>
      <c r="I9" s="18">
        <v>0.77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2272.71</v>
      </c>
      <c r="G10" s="18"/>
      <c r="H10" s="18"/>
      <c r="I10" s="18"/>
      <c r="J10" s="67">
        <f>SUM(I432)</f>
        <v>269951.82999999996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35035.910000000003</v>
      </c>
      <c r="G12" s="18">
        <v>2186.35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885.77</v>
      </c>
      <c r="H13" s="18">
        <f>1087.06+8397.64+9806+19035.69+32.87+3544.56</f>
        <v>41903.82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1955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166492.95000000001</v>
      </c>
      <c r="G19" s="41">
        <f>SUM(G9:G18)</f>
        <v>3072.12</v>
      </c>
      <c r="H19" s="41">
        <f>SUM(H9:H18)</f>
        <v>41903.82</v>
      </c>
      <c r="I19" s="41">
        <f>SUM(I9:I18)</f>
        <v>0.77</v>
      </c>
      <c r="J19" s="41">
        <f>SUM(J9:J18)</f>
        <v>269951.82999999996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-683.43+8141.76+9806+18959.43-1467.13-300.05+3544.56-1200</f>
        <v>36801.14</v>
      </c>
      <c r="I23" s="18">
        <v>421.89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66684.02</f>
        <v>66684.02</v>
      </c>
      <c r="G25" s="18">
        <v>1503.14</v>
      </c>
      <c r="H25" s="18">
        <f>1770.49+255.88+64.73+1500</f>
        <v>3591.1</v>
      </c>
      <c r="I25" s="18">
        <v>83177.759999999995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254.98</f>
        <v>254.98</v>
      </c>
      <c r="G30" s="18">
        <v>33.68</v>
      </c>
      <c r="H30" s="18">
        <f>11.53</f>
        <v>11.53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300.05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66939</v>
      </c>
      <c r="G33" s="41">
        <f>SUM(G23:G32)</f>
        <v>1536.8200000000002</v>
      </c>
      <c r="H33" s="41">
        <f>SUM(H23:H32)</f>
        <v>40703.82</v>
      </c>
      <c r="I33" s="41">
        <f>SUM(I23:I32)</f>
        <v>83599.649999999994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1955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22529.18</v>
      </c>
      <c r="G37" s="18"/>
      <c r="H37" s="18">
        <v>1386.42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1535.3</v>
      </c>
      <c r="H41" s="18">
        <f>H19-H33-H37</f>
        <v>-186.42000000000007</v>
      </c>
      <c r="I41" s="18">
        <f>I19-I33</f>
        <v>-83598.87999999999</v>
      </c>
      <c r="J41" s="13">
        <f>SUM(I449)</f>
        <v>269951.82999999996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F19-F33-F36-F37</f>
        <v>75069.770000000019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99553.950000000012</v>
      </c>
      <c r="G43" s="41">
        <f>SUM(G35:G42)</f>
        <v>1535.3</v>
      </c>
      <c r="H43" s="41">
        <f>SUM(H35:H42)</f>
        <v>1200</v>
      </c>
      <c r="I43" s="41">
        <f>SUM(I35:I42)</f>
        <v>-83598.87999999999</v>
      </c>
      <c r="J43" s="41">
        <f>SUM(J35:J42)</f>
        <v>269951.82999999996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166492.95000000001</v>
      </c>
      <c r="G44" s="41">
        <f>G43+G33</f>
        <v>3072.12</v>
      </c>
      <c r="H44" s="41">
        <f>H43+H33</f>
        <v>41903.82</v>
      </c>
      <c r="I44" s="41">
        <f>I43+I33</f>
        <v>0.77000000000407454</v>
      </c>
      <c r="J44" s="41">
        <f>J43+J33</f>
        <v>269951.82999999996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3528849</v>
      </c>
      <c r="G49" s="18"/>
      <c r="H49" s="18"/>
      <c r="I49" s="18"/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3528849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1203.6+715.92</f>
        <v>1919.52</v>
      </c>
      <c r="G88" s="18"/>
      <c r="H88" s="18"/>
      <c r="I88" s="18"/>
      <c r="J88" s="18">
        <v>2156.66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37391.160000000003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260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22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7595.11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13792.45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23589.08</v>
      </c>
      <c r="G103" s="41">
        <f>SUM(G88:G102)</f>
        <v>37391.160000000003</v>
      </c>
      <c r="H103" s="41">
        <f>SUM(H88:H102)</f>
        <v>0</v>
      </c>
      <c r="I103" s="41">
        <f>SUM(I88:I102)</f>
        <v>0</v>
      </c>
      <c r="J103" s="41">
        <f>SUM(J88:J102)</f>
        <v>2156.66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3552438.08</v>
      </c>
      <c r="G104" s="41">
        <f>G52+G103</f>
        <v>37391.160000000003</v>
      </c>
      <c r="H104" s="41">
        <f>H52+H71+H86+H103</f>
        <v>0</v>
      </c>
      <c r="I104" s="41">
        <f>I52+I103</f>
        <v>0</v>
      </c>
      <c r="J104" s="41">
        <f>J52+J103</f>
        <v>2156.66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603928.6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588524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231709.4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1424162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45967.02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688.47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45967.02</v>
      </c>
      <c r="G128" s="41">
        <f>SUM(G115:G127)</f>
        <v>688.47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1470129.02</v>
      </c>
      <c r="G132" s="41">
        <f>G113+SUM(G128:G129)</f>
        <v>688.47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14087.06+8397.64+9806+35000.88</f>
        <v>67291.579999999987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10114.14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51041+1939.95+26768+1352</f>
        <v>81100.95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37649.339999999997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37649.339999999997</v>
      </c>
      <c r="G154" s="41">
        <f>SUM(G142:G153)</f>
        <v>10114.14</v>
      </c>
      <c r="H154" s="41">
        <f>SUM(H142:H153)</f>
        <v>148392.52999999997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37649.339999999997</v>
      </c>
      <c r="G161" s="41">
        <f>G139+G154+SUM(G155:G160)</f>
        <v>10114.14</v>
      </c>
      <c r="H161" s="41">
        <f>H139+H154+SUM(H155:H160)</f>
        <v>148392.52999999997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26873.06</v>
      </c>
      <c r="H171" s="18"/>
      <c r="I171" s="18"/>
      <c r="J171" s="18">
        <f>75000</f>
        <v>75000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26873.06</v>
      </c>
      <c r="H175" s="41">
        <f>SUM(H171:H174)</f>
        <v>0</v>
      </c>
      <c r="I175" s="41">
        <f>SUM(I171:I174)</f>
        <v>0</v>
      </c>
      <c r="J175" s="41">
        <f>SUM(J171:J174)</f>
        <v>75000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31902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31902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31902</v>
      </c>
      <c r="G184" s="41">
        <f>G175+SUM(G180:G183)</f>
        <v>26873.06</v>
      </c>
      <c r="H184" s="41">
        <f>+H175+SUM(H180:H183)</f>
        <v>0</v>
      </c>
      <c r="I184" s="41">
        <f>I169+I175+SUM(I180:I183)</f>
        <v>0</v>
      </c>
      <c r="J184" s="41">
        <f>J175</f>
        <v>75000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5092118.4399999995</v>
      </c>
      <c r="G185" s="47">
        <f>G104+G132+G161+G184</f>
        <v>75066.83</v>
      </c>
      <c r="H185" s="47">
        <f>H104+H132+H161+H184</f>
        <v>148392.52999999997</v>
      </c>
      <c r="I185" s="47">
        <f>I104+I132+I161+I184</f>
        <v>0</v>
      </c>
      <c r="J185" s="47">
        <f>J104+J132+J184</f>
        <v>77156.66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1240657.3</f>
        <v>1240657.3</v>
      </c>
      <c r="G189" s="18">
        <f>283628.17+237555.52</f>
        <v>521183.68999999994</v>
      </c>
      <c r="H189" s="18">
        <f>7886.42+799.99+110.86</f>
        <v>8797.27</v>
      </c>
      <c r="I189" s="18">
        <f>54584.8+966.09+12841.96+1700.79-549.77</f>
        <v>69543.87</v>
      </c>
      <c r="J189" s="18">
        <f>5873.9+1867.08</f>
        <v>7740.98</v>
      </c>
      <c r="K189" s="18">
        <f>8580.75+115</f>
        <v>8695.75</v>
      </c>
      <c r="L189" s="19">
        <f>SUM(F189:K189)</f>
        <v>1856618.8599999999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484658.43</f>
        <v>484658.43</v>
      </c>
      <c r="G190" s="18">
        <f>151346.32+92800.23</f>
        <v>244146.55</v>
      </c>
      <c r="H190" s="18">
        <f>111138.38+40181.4+39.75-1650</f>
        <v>149709.53</v>
      </c>
      <c r="I190" s="18">
        <f>2009.8+527.25+118.38+260</f>
        <v>2915.4300000000003</v>
      </c>
      <c r="J190" s="18">
        <f>124+307.33+927.99</f>
        <v>1359.32</v>
      </c>
      <c r="K190" s="18">
        <f>1031.92</f>
        <v>1031.92</v>
      </c>
      <c r="L190" s="19">
        <f>SUM(F190:K190)</f>
        <v>883821.18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29014.99</v>
      </c>
      <c r="G192" s="18">
        <v>3264.44</v>
      </c>
      <c r="H192" s="18"/>
      <c r="I192" s="18">
        <v>5853.61</v>
      </c>
      <c r="J192" s="18"/>
      <c r="K192" s="18">
        <v>1395</v>
      </c>
      <c r="L192" s="19">
        <f>SUM(F192:K192)</f>
        <v>39528.04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63540.35+54131</f>
        <v>117671.35</v>
      </c>
      <c r="G194" s="18">
        <f>8487.79+21013.35</f>
        <v>29501.14</v>
      </c>
      <c r="H194" s="18">
        <f>2925+29244.07+550+550</f>
        <v>33269.07</v>
      </c>
      <c r="I194" s="18">
        <f>562.68+466.37+1487.01+10714.35</f>
        <v>13230.41</v>
      </c>
      <c r="J194" s="18">
        <f>129+18954.77+3993</f>
        <v>23076.77</v>
      </c>
      <c r="K194" s="18">
        <v>115</v>
      </c>
      <c r="L194" s="19">
        <f t="shared" ref="L194:L200" si="0">SUM(F194:K194)</f>
        <v>216863.74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10973.23+47548.66</f>
        <v>58521.89</v>
      </c>
      <c r="G195" s="18">
        <f>2504.73+31093.5</f>
        <v>33598.230000000003</v>
      </c>
      <c r="H195" s="18">
        <f>24500.82+1228+1498.24+2898.83+432.6</f>
        <v>30558.489999999998</v>
      </c>
      <c r="I195" s="18">
        <f>1241.3+4005.06</f>
        <v>5246.36</v>
      </c>
      <c r="J195" s="18">
        <v>747.88</v>
      </c>
      <c r="K195" s="18"/>
      <c r="L195" s="19">
        <f t="shared" si="0"/>
        <v>128672.84999999999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3150+118597.3</f>
        <v>121747.3</v>
      </c>
      <c r="G196" s="18">
        <f>17828.04+23311.63</f>
        <v>41139.67</v>
      </c>
      <c r="H196" s="18">
        <f>16411.86+7834.35+5500+28.44+2878.93+188.14</f>
        <v>32841.72</v>
      </c>
      <c r="I196" s="18">
        <f>1010.5+1097.7</f>
        <v>2108.1999999999998</v>
      </c>
      <c r="J196" s="18"/>
      <c r="K196" s="18">
        <f>4299.51+2188.05</f>
        <v>6487.56</v>
      </c>
      <c r="L196" s="19">
        <f t="shared" si="0"/>
        <v>204324.45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144853.84</v>
      </c>
      <c r="G197" s="18">
        <v>54040.6</v>
      </c>
      <c r="H197" s="18">
        <v>16368.45</v>
      </c>
      <c r="I197" s="18">
        <f>1103.94+312.15</f>
        <v>1416.0900000000001</v>
      </c>
      <c r="J197" s="18"/>
      <c r="K197" s="18">
        <v>1871</v>
      </c>
      <c r="L197" s="19">
        <f t="shared" si="0"/>
        <v>218549.98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89272.44</v>
      </c>
      <c r="G199" s="18">
        <v>33848.92</v>
      </c>
      <c r="H199" s="18">
        <f>80997.76+1232+17040.86</f>
        <v>99270.62</v>
      </c>
      <c r="I199" s="18">
        <f>67880.14+889.05</f>
        <v>68769.19</v>
      </c>
      <c r="J199" s="18">
        <v>4292</v>
      </c>
      <c r="K199" s="18">
        <v>475</v>
      </c>
      <c r="L199" s="19">
        <f t="shared" si="0"/>
        <v>295928.17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7914.55</v>
      </c>
      <c r="G200" s="18">
        <v>489.7</v>
      </c>
      <c r="H200" s="18">
        <v>180907.51999999999</v>
      </c>
      <c r="I200" s="18"/>
      <c r="J200" s="18">
        <v>24000</v>
      </c>
      <c r="K200" s="18"/>
      <c r="L200" s="19">
        <f t="shared" si="0"/>
        <v>213311.77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2294312.09</v>
      </c>
      <c r="G203" s="41">
        <f t="shared" si="1"/>
        <v>961212.94</v>
      </c>
      <c r="H203" s="41">
        <f t="shared" si="1"/>
        <v>551722.66999999993</v>
      </c>
      <c r="I203" s="41">
        <f t="shared" si="1"/>
        <v>169083.15999999997</v>
      </c>
      <c r="J203" s="41">
        <f t="shared" si="1"/>
        <v>61216.95</v>
      </c>
      <c r="K203" s="41">
        <f t="shared" si="1"/>
        <v>20071.23</v>
      </c>
      <c r="L203" s="41">
        <f t="shared" si="1"/>
        <v>4057619.0400000005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1085533.3700000001</v>
      </c>
      <c r="I225" s="18"/>
      <c r="J225" s="18"/>
      <c r="K225" s="18"/>
      <c r="L225" s="19">
        <f>SUM(F225:K225)</f>
        <v>1085533.3700000001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1085533.3700000001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1085533.3700000001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10933.7</f>
        <v>10933.7</v>
      </c>
      <c r="I247" s="18">
        <v>12784.42</v>
      </c>
      <c r="J247" s="18"/>
      <c r="K247" s="18"/>
      <c r="L247" s="19">
        <f t="shared" si="6"/>
        <v>23718.120000000003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10933.7</v>
      </c>
      <c r="I248" s="41">
        <f t="shared" si="7"/>
        <v>12784.42</v>
      </c>
      <c r="J248" s="41">
        <f t="shared" si="7"/>
        <v>0</v>
      </c>
      <c r="K248" s="41">
        <f t="shared" si="7"/>
        <v>0</v>
      </c>
      <c r="L248" s="41">
        <f>SUM(F248:K248)</f>
        <v>23718.120000000003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2294312.09</v>
      </c>
      <c r="G249" s="41">
        <f t="shared" si="8"/>
        <v>961212.94</v>
      </c>
      <c r="H249" s="41">
        <f t="shared" si="8"/>
        <v>1648189.74</v>
      </c>
      <c r="I249" s="41">
        <f t="shared" si="8"/>
        <v>181867.58</v>
      </c>
      <c r="J249" s="41">
        <f t="shared" si="8"/>
        <v>61216.95</v>
      </c>
      <c r="K249" s="41">
        <f t="shared" si="8"/>
        <v>20071.23</v>
      </c>
      <c r="L249" s="41">
        <f t="shared" si="8"/>
        <v>5166870.53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145000</v>
      </c>
      <c r="L252" s="19">
        <f>SUM(F252:K252)</f>
        <v>145000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15148.13</v>
      </c>
      <c r="L253" s="19">
        <f>SUM(F253:K253)</f>
        <v>15148.13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26873.06</v>
      </c>
      <c r="L255" s="19">
        <f>SUM(F255:K255)</f>
        <v>26873.06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75000</v>
      </c>
      <c r="L258" s="19">
        <f t="shared" si="9"/>
        <v>75000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262021.19</v>
      </c>
      <c r="L262" s="41">
        <f t="shared" si="9"/>
        <v>262021.19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2294312.09</v>
      </c>
      <c r="G263" s="42">
        <f t="shared" si="11"/>
        <v>961212.94</v>
      </c>
      <c r="H263" s="42">
        <f t="shared" si="11"/>
        <v>1648189.74</v>
      </c>
      <c r="I263" s="42">
        <f t="shared" si="11"/>
        <v>181867.58</v>
      </c>
      <c r="J263" s="42">
        <f t="shared" si="11"/>
        <v>61216.95</v>
      </c>
      <c r="K263" s="42">
        <f t="shared" si="11"/>
        <v>282092.42</v>
      </c>
      <c r="L263" s="42">
        <f t="shared" si="11"/>
        <v>5428891.7200000007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13894.34+4935+9809</f>
        <v>28638.34</v>
      </c>
      <c r="G268" s="18"/>
      <c r="H268" s="18">
        <f>5418.02+7835</f>
        <v>13253.02</v>
      </c>
      <c r="I268" s="18">
        <f>192.72+2241.89</f>
        <v>2434.6099999999997</v>
      </c>
      <c r="J268" s="18">
        <f>1056+499.99</f>
        <v>1555.99</v>
      </c>
      <c r="K268" s="18"/>
      <c r="L268" s="19">
        <f>SUM(F268:K268)</f>
        <v>45881.96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4935+12641+1840+8608</f>
        <v>28024</v>
      </c>
      <c r="G269" s="18">
        <v>400</v>
      </c>
      <c r="H269" s="18">
        <f>650+21000+15400+7700+1352</f>
        <v>46102</v>
      </c>
      <c r="I269" s="18"/>
      <c r="J269" s="18">
        <f>5460</f>
        <v>5460</v>
      </c>
      <c r="K269" s="18">
        <v>99.95</v>
      </c>
      <c r="L269" s="19">
        <f>SUM(F269:K269)</f>
        <v>80085.95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900+3700+1200</f>
        <v>5800</v>
      </c>
      <c r="G274" s="18"/>
      <c r="H274" s="18">
        <f>300+1779.62+8750+1045+950+654.44+3145.56</f>
        <v>16624.62</v>
      </c>
      <c r="I274" s="18"/>
      <c r="J274" s="18"/>
      <c r="K274" s="18"/>
      <c r="L274" s="19">
        <f t="shared" si="12"/>
        <v>22424.62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62462.34</v>
      </c>
      <c r="G282" s="42">
        <f t="shared" si="13"/>
        <v>400</v>
      </c>
      <c r="H282" s="42">
        <f t="shared" si="13"/>
        <v>75979.64</v>
      </c>
      <c r="I282" s="42">
        <f t="shared" si="13"/>
        <v>2434.6099999999997</v>
      </c>
      <c r="J282" s="42">
        <f t="shared" si="13"/>
        <v>7015.99</v>
      </c>
      <c r="K282" s="42">
        <f t="shared" si="13"/>
        <v>99.95</v>
      </c>
      <c r="L282" s="41">
        <f t="shared" si="13"/>
        <v>148392.53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0</v>
      </c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62462.34</v>
      </c>
      <c r="G330" s="41">
        <f t="shared" si="20"/>
        <v>400</v>
      </c>
      <c r="H330" s="41">
        <f t="shared" si="20"/>
        <v>75979.64</v>
      </c>
      <c r="I330" s="41">
        <f t="shared" si="20"/>
        <v>2434.6099999999997</v>
      </c>
      <c r="J330" s="41">
        <f t="shared" si="20"/>
        <v>7015.99</v>
      </c>
      <c r="K330" s="41">
        <f t="shared" si="20"/>
        <v>99.95</v>
      </c>
      <c r="L330" s="41">
        <f t="shared" si="20"/>
        <v>148392.53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62462.34</v>
      </c>
      <c r="G344" s="41">
        <f>G330</f>
        <v>400</v>
      </c>
      <c r="H344" s="41">
        <f>H330</f>
        <v>75979.64</v>
      </c>
      <c r="I344" s="41">
        <f>I330</f>
        <v>2434.6099999999997</v>
      </c>
      <c r="J344" s="41">
        <f>J330</f>
        <v>7015.99</v>
      </c>
      <c r="K344" s="47">
        <f>K330+K343</f>
        <v>99.95</v>
      </c>
      <c r="L344" s="41">
        <f>L330+L343</f>
        <v>148392.53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13471.92</v>
      </c>
      <c r="G350" s="18">
        <v>14130.69</v>
      </c>
      <c r="H350" s="18">
        <v>36532.160000000003</v>
      </c>
      <c r="I350" s="18">
        <v>10932.06</v>
      </c>
      <c r="J350" s="18"/>
      <c r="K350" s="18"/>
      <c r="L350" s="13">
        <f>SUM(F350:K350)</f>
        <v>75066.83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13471.92</v>
      </c>
      <c r="G354" s="47">
        <f t="shared" si="22"/>
        <v>14130.69</v>
      </c>
      <c r="H354" s="47">
        <f t="shared" si="22"/>
        <v>36532.160000000003</v>
      </c>
      <c r="I354" s="47">
        <f t="shared" si="22"/>
        <v>10932.06</v>
      </c>
      <c r="J354" s="47">
        <f t="shared" si="22"/>
        <v>0</v>
      </c>
      <c r="K354" s="47">
        <f t="shared" si="22"/>
        <v>0</v>
      </c>
      <c r="L354" s="47">
        <f t="shared" si="22"/>
        <v>75066.83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10932.06</v>
      </c>
      <c r="G359" s="18"/>
      <c r="H359" s="18"/>
      <c r="I359" s="56">
        <f>SUM(F359:H359)</f>
        <v>10932.06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10932.06</v>
      </c>
      <c r="G361" s="47">
        <f>SUM(G359:G360)</f>
        <v>0</v>
      </c>
      <c r="H361" s="47">
        <f>SUM(H359:H360)</f>
        <v>0</v>
      </c>
      <c r="I361" s="47">
        <f>SUM(I359:I360)</f>
        <v>10932.06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421.89+83177.76</f>
        <v>83599.649999999994</v>
      </c>
      <c r="I371" s="18"/>
      <c r="J371" s="18"/>
      <c r="K371" s="18"/>
      <c r="L371" s="13">
        <f t="shared" si="23"/>
        <v>83599.649999999994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83599.649999999994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83599.649999999994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10000</v>
      </c>
      <c r="H381" s="18">
        <v>403.21</v>
      </c>
      <c r="I381" s="18"/>
      <c r="J381" s="24" t="s">
        <v>312</v>
      </c>
      <c r="K381" s="24" t="s">
        <v>312</v>
      </c>
      <c r="L381" s="56">
        <f t="shared" si="25"/>
        <v>10403.209999999999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403.21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10403.209999999999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30000</v>
      </c>
      <c r="H389" s="18">
        <v>1559.68</v>
      </c>
      <c r="I389" s="18"/>
      <c r="J389" s="24" t="s">
        <v>312</v>
      </c>
      <c r="K389" s="24" t="s">
        <v>312</v>
      </c>
      <c r="L389" s="56">
        <f t="shared" si="26"/>
        <v>31559.68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35000</v>
      </c>
      <c r="H392" s="18">
        <v>193.77</v>
      </c>
      <c r="I392" s="18"/>
      <c r="J392" s="24" t="s">
        <v>312</v>
      </c>
      <c r="K392" s="24" t="s">
        <v>312</v>
      </c>
      <c r="L392" s="56">
        <f t="shared" si="26"/>
        <v>35193.769999999997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65000</v>
      </c>
      <c r="H393" s="47">
        <f>SUM(H387:H392)</f>
        <v>1753.45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66753.45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75000</v>
      </c>
      <c r="H400" s="47">
        <f>H385+H393+H399</f>
        <v>2156.66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77156.66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20800</v>
      </c>
      <c r="L407" s="56">
        <f t="shared" si="27"/>
        <v>20800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20800</v>
      </c>
      <c r="L411" s="47">
        <f t="shared" si="28"/>
        <v>20800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11102</v>
      </c>
      <c r="L418" s="56">
        <f t="shared" si="29"/>
        <v>11102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11102</v>
      </c>
      <c r="L419" s="47">
        <f t="shared" si="30"/>
        <v>11102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31902</v>
      </c>
      <c r="L426" s="47">
        <f t="shared" si="32"/>
        <v>31902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76059.47</v>
      </c>
      <c r="G432" s="18">
        <f>24091.77+169800.59</f>
        <v>193892.36</v>
      </c>
      <c r="H432" s="18"/>
      <c r="I432" s="56">
        <f t="shared" si="33"/>
        <v>269951.82999999996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0</v>
      </c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76059.47</v>
      </c>
      <c r="G438" s="13">
        <f>SUM(G431:G437)</f>
        <v>193892.36</v>
      </c>
      <c r="H438" s="13">
        <f>SUM(H431:H437)</f>
        <v>0</v>
      </c>
      <c r="I438" s="13">
        <f>SUM(I431:I437)</f>
        <v>269951.82999999996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F438</f>
        <v>76059.47</v>
      </c>
      <c r="G449" s="18">
        <f>G438</f>
        <v>193892.36</v>
      </c>
      <c r="H449" s="18"/>
      <c r="I449" s="56">
        <f>SUM(F449:H449)</f>
        <v>269951.82999999996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76059.47</v>
      </c>
      <c r="G450" s="83">
        <f>SUM(G446:G449)</f>
        <v>193892.36</v>
      </c>
      <c r="H450" s="83">
        <f>SUM(H446:H449)</f>
        <v>0</v>
      </c>
      <c r="I450" s="83">
        <f>SUM(I446:I449)</f>
        <v>269951.82999999996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76059.47</v>
      </c>
      <c r="G451" s="42">
        <f>G444+G450</f>
        <v>193892.36</v>
      </c>
      <c r="H451" s="42">
        <f>H444+H450</f>
        <v>0</v>
      </c>
      <c r="I451" s="42">
        <f>I444+I450</f>
        <v>269951.82999999996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436327.23</v>
      </c>
      <c r="G455" s="18">
        <v>1535.3</v>
      </c>
      <c r="H455" s="18">
        <v>1200</v>
      </c>
      <c r="I455" s="18">
        <v>0.77</v>
      </c>
      <c r="J455" s="18">
        <v>224697.21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5092118.4399999995</v>
      </c>
      <c r="G458" s="18">
        <f>G185</f>
        <v>75066.83</v>
      </c>
      <c r="H458" s="18">
        <f>H185</f>
        <v>148392.52999999997</v>
      </c>
      <c r="I458" s="18">
        <f>I185</f>
        <v>0</v>
      </c>
      <c r="J458" s="18">
        <f>L400</f>
        <v>77156.66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5092118.4399999995</v>
      </c>
      <c r="G460" s="53">
        <f>SUM(G458:G459)</f>
        <v>75066.83</v>
      </c>
      <c r="H460" s="53">
        <f>SUM(H458:H459)</f>
        <v>148392.52999999997</v>
      </c>
      <c r="I460" s="53">
        <f>SUM(I458:I459)</f>
        <v>0</v>
      </c>
      <c r="J460" s="53">
        <f>SUM(J458:J459)</f>
        <v>77156.66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5428891.7200000007</v>
      </c>
      <c r="G462" s="18">
        <f>L354</f>
        <v>75066.83</v>
      </c>
      <c r="H462" s="18">
        <f>L344</f>
        <v>148392.53</v>
      </c>
      <c r="I462" s="18">
        <f>L374</f>
        <v>83599.649999999994</v>
      </c>
      <c r="J462" s="18">
        <f>L426</f>
        <v>31902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>
        <v>0.04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5428891.7200000007</v>
      </c>
      <c r="G464" s="53">
        <f>SUM(G462:G463)</f>
        <v>75066.83</v>
      </c>
      <c r="H464" s="53">
        <f>SUM(H462:H463)</f>
        <v>148392.53</v>
      </c>
      <c r="I464" s="53">
        <f>SUM(I462:I463)</f>
        <v>83599.649999999994</v>
      </c>
      <c r="J464" s="53">
        <f>SUM(J462:J463)</f>
        <v>31902.04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99553.949999999255</v>
      </c>
      <c r="G466" s="53">
        <f>(G455+G460)- G464</f>
        <v>1535.3000000000029</v>
      </c>
      <c r="H466" s="53">
        <f>(H455+H460)- H464</f>
        <v>1199.9999999999709</v>
      </c>
      <c r="I466" s="53">
        <f>(I455+I460)- I464</f>
        <v>-83598.87999999999</v>
      </c>
      <c r="J466" s="53">
        <f>(J455+J460)- J464</f>
        <v>269951.83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899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875000</v>
      </c>
      <c r="G483" s="18">
        <v>300000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>
        <v>4.08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170000</v>
      </c>
      <c r="G485" s="18">
        <v>240000</v>
      </c>
      <c r="H485" s="18"/>
      <c r="I485" s="18"/>
      <c r="J485" s="18"/>
      <c r="K485" s="53">
        <f>SUM(F485:J485)</f>
        <v>410000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</v>
      </c>
      <c r="G487" s="18">
        <v>60000</v>
      </c>
      <c r="H487" s="18"/>
      <c r="I487" s="18"/>
      <c r="J487" s="18"/>
      <c r="K487" s="53">
        <f t="shared" si="34"/>
        <v>145000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85000</v>
      </c>
      <c r="G488" s="205">
        <f>G485-G487</f>
        <v>180000</v>
      </c>
      <c r="H488" s="205"/>
      <c r="I488" s="205"/>
      <c r="J488" s="205"/>
      <c r="K488" s="206">
        <f t="shared" si="34"/>
        <v>265000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2210</v>
      </c>
      <c r="G489" s="18">
        <f>6150+5025</f>
        <v>11175</v>
      </c>
      <c r="H489" s="18"/>
      <c r="I489" s="18"/>
      <c r="J489" s="18"/>
      <c r="K489" s="53">
        <f t="shared" si="34"/>
        <v>13385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87210</v>
      </c>
      <c r="G490" s="42">
        <f>SUM(G488:G489)</f>
        <v>191175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278385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85000</v>
      </c>
      <c r="G491" s="205">
        <v>60000</v>
      </c>
      <c r="H491" s="205"/>
      <c r="I491" s="205"/>
      <c r="J491" s="205"/>
      <c r="K491" s="206">
        <f t="shared" si="34"/>
        <v>145000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2210</v>
      </c>
      <c r="G492" s="18">
        <v>6150</v>
      </c>
      <c r="H492" s="18"/>
      <c r="I492" s="18"/>
      <c r="J492" s="18"/>
      <c r="K492" s="53">
        <f t="shared" si="34"/>
        <v>8360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87210</v>
      </c>
      <c r="G493" s="42">
        <f>SUM(G491:G492)</f>
        <v>66150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153360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484658.43+12641+1840+8608</f>
        <v>507747.43</v>
      </c>
      <c r="G511" s="18">
        <f>151346.32+92800.23+400</f>
        <v>244546.55</v>
      </c>
      <c r="H511" s="18">
        <f>111138.38+40181.4+650+21000+15400+7700+1352</f>
        <v>197421.78</v>
      </c>
      <c r="I511" s="18">
        <v>2009.8</v>
      </c>
      <c r="J511" s="18">
        <f>124+307.33+5460</f>
        <v>5891.33</v>
      </c>
      <c r="K511" s="18">
        <f>1031.92+99.95</f>
        <v>1131.8700000000001</v>
      </c>
      <c r="L511" s="88">
        <f>SUM(F511:K511)</f>
        <v>958748.76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507747.43</v>
      </c>
      <c r="G514" s="108">
        <f t="shared" ref="G514:L514" si="35">SUM(G511:G513)</f>
        <v>244546.55</v>
      </c>
      <c r="H514" s="108">
        <f t="shared" si="35"/>
        <v>197421.78</v>
      </c>
      <c r="I514" s="108">
        <f t="shared" si="35"/>
        <v>2009.8</v>
      </c>
      <c r="J514" s="108">
        <f t="shared" si="35"/>
        <v>5891.33</v>
      </c>
      <c r="K514" s="108">
        <f t="shared" si="35"/>
        <v>1131.8700000000001</v>
      </c>
      <c r="L514" s="89">
        <f t="shared" si="35"/>
        <v>958748.76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1200</v>
      </c>
      <c r="G516" s="18"/>
      <c r="H516" s="18">
        <f>950+654.44+3145.56</f>
        <v>4750</v>
      </c>
      <c r="I516" s="18"/>
      <c r="J516" s="18"/>
      <c r="K516" s="18"/>
      <c r="L516" s="88">
        <f>SUM(F516:K516)</f>
        <v>5950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1200</v>
      </c>
      <c r="G519" s="89">
        <f t="shared" ref="G519:L519" si="36">SUM(G516:G518)</f>
        <v>0</v>
      </c>
      <c r="H519" s="89">
        <f t="shared" si="36"/>
        <v>4750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5950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3884.76</v>
      </c>
      <c r="I531" s="18"/>
      <c r="J531" s="18"/>
      <c r="K531" s="18"/>
      <c r="L531" s="88">
        <f>SUM(F531:K531)</f>
        <v>3884.76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3884.76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3884.76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508947.43</v>
      </c>
      <c r="G535" s="89">
        <f t="shared" ref="G535:L535" si="40">G514+G519+G524+G529+G534</f>
        <v>244546.55</v>
      </c>
      <c r="H535" s="89">
        <f t="shared" si="40"/>
        <v>206056.54</v>
      </c>
      <c r="I535" s="89">
        <f t="shared" si="40"/>
        <v>2009.8</v>
      </c>
      <c r="J535" s="89">
        <f t="shared" si="40"/>
        <v>5891.33</v>
      </c>
      <c r="K535" s="89">
        <f t="shared" si="40"/>
        <v>1131.8700000000001</v>
      </c>
      <c r="L535" s="89">
        <f t="shared" si="40"/>
        <v>968583.52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958748.76</v>
      </c>
      <c r="G539" s="87">
        <f>L516</f>
        <v>5950</v>
      </c>
      <c r="H539" s="87">
        <f>L521</f>
        <v>0</v>
      </c>
      <c r="I539" s="87">
        <f>L526</f>
        <v>0</v>
      </c>
      <c r="J539" s="87">
        <f>L531</f>
        <v>3884.76</v>
      </c>
      <c r="K539" s="87">
        <f>SUM(F539:J539)</f>
        <v>968583.52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958748.76</v>
      </c>
      <c r="G542" s="89">
        <f t="shared" si="41"/>
        <v>5950</v>
      </c>
      <c r="H542" s="89">
        <f t="shared" si="41"/>
        <v>0</v>
      </c>
      <c r="I542" s="89">
        <f t="shared" si="41"/>
        <v>0</v>
      </c>
      <c r="J542" s="89">
        <f t="shared" si="41"/>
        <v>3884.76</v>
      </c>
      <c r="K542" s="89">
        <f t="shared" si="41"/>
        <v>968583.52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1085533.3700000001</v>
      </c>
      <c r="I565" s="87">
        <f>SUM(F565:H565)</f>
        <v>1085533.3700000001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6225.44</v>
      </c>
      <c r="G569" s="18"/>
      <c r="H569" s="18"/>
      <c r="I569" s="87">
        <f t="shared" si="46"/>
        <v>6225.44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36402.480000000003</v>
      </c>
      <c r="G570" s="18"/>
      <c r="H570" s="18"/>
      <c r="I570" s="87">
        <f t="shared" si="46"/>
        <v>36402.480000000003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40181.4</v>
      </c>
      <c r="G572" s="18"/>
      <c r="H572" s="18"/>
      <c r="I572" s="87">
        <f t="shared" si="46"/>
        <v>40181.4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162089.43+24000+7914.55+489.7</f>
        <v>194493.68</v>
      </c>
      <c r="I581" s="18"/>
      <c r="J581" s="18"/>
      <c r="K581" s="104">
        <f t="shared" ref="K581:K587" si="47">SUM(H581:J581)</f>
        <v>194493.68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3884.76</f>
        <v>3884.76</v>
      </c>
      <c r="I582" s="18"/>
      <c r="J582" s="18"/>
      <c r="K582" s="104">
        <f t="shared" si="47"/>
        <v>3884.76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5414.74</v>
      </c>
      <c r="I584" s="18"/>
      <c r="J584" s="18"/>
      <c r="K584" s="104">
        <f t="shared" si="47"/>
        <v>5414.74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9518.59</v>
      </c>
      <c r="I585" s="18"/>
      <c r="J585" s="18"/>
      <c r="K585" s="104">
        <f t="shared" si="47"/>
        <v>9518.59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213311.77</v>
      </c>
      <c r="I588" s="108">
        <f>SUM(I581:I587)</f>
        <v>0</v>
      </c>
      <c r="J588" s="108">
        <f>SUM(J581:J587)</f>
        <v>0</v>
      </c>
      <c r="K588" s="108">
        <f>SUM(K581:K587)</f>
        <v>213311.77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5873.9+124+307.33+18954.77+129+4292+24000+1056+499.99+5460+1867.08+927.99+3993+747.88</f>
        <v>68232.94</v>
      </c>
      <c r="I594" s="18"/>
      <c r="J594" s="18"/>
      <c r="K594" s="104">
        <f>SUM(H594:J594)</f>
        <v>68232.94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68232.94</v>
      </c>
      <c r="I595" s="108">
        <f>SUM(I592:I594)</f>
        <v>0</v>
      </c>
      <c r="J595" s="108">
        <f>SUM(J592:J594)</f>
        <v>0</v>
      </c>
      <c r="K595" s="108">
        <f>SUM(K592:K594)</f>
        <v>68232.94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166492.95000000001</v>
      </c>
      <c r="H607" s="109">
        <f>SUM(F44)</f>
        <v>166492.95000000001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3072.12</v>
      </c>
      <c r="H608" s="109">
        <f>SUM(G44)</f>
        <v>3072.12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41903.82</v>
      </c>
      <c r="H609" s="109">
        <f>SUM(H44)</f>
        <v>41903.82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0.77</v>
      </c>
      <c r="H610" s="109">
        <f>SUM(I44)</f>
        <v>0.77000000000407454</v>
      </c>
      <c r="I610" s="121" t="s">
        <v>104</v>
      </c>
      <c r="J610" s="109">
        <f>G610-H610</f>
        <v>-4.0745185003743245E-12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269951.82999999996</v>
      </c>
      <c r="H611" s="109">
        <f>SUM(J44)</f>
        <v>269951.82999999996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99553.950000000012</v>
      </c>
      <c r="H612" s="109">
        <f>F466</f>
        <v>99553.949999999255</v>
      </c>
      <c r="I612" s="121" t="s">
        <v>106</v>
      </c>
      <c r="J612" s="109">
        <f t="shared" ref="J612:J645" si="49">G612-H612</f>
        <v>7.5669959187507629E-10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1535.3</v>
      </c>
      <c r="H613" s="109">
        <f>G466</f>
        <v>1535.3000000000029</v>
      </c>
      <c r="I613" s="121" t="s">
        <v>108</v>
      </c>
      <c r="J613" s="109">
        <f t="shared" si="49"/>
        <v>-2.9558577807620168E-12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1200</v>
      </c>
      <c r="H614" s="109">
        <f>H466</f>
        <v>1199.9999999999709</v>
      </c>
      <c r="I614" s="121" t="s">
        <v>110</v>
      </c>
      <c r="J614" s="109">
        <f t="shared" si="49"/>
        <v>2.9103830456733704E-11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-83598.87999999999</v>
      </c>
      <c r="H615" s="109">
        <f>I466</f>
        <v>-83598.87999999999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269951.82999999996</v>
      </c>
      <c r="H616" s="109">
        <f>J466</f>
        <v>269951.83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5092118.4399999995</v>
      </c>
      <c r="H617" s="104">
        <f>SUM(F458)</f>
        <v>5092118.4399999995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75066.83</v>
      </c>
      <c r="H618" s="104">
        <f>SUM(G458)</f>
        <v>75066.83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148392.52999999997</v>
      </c>
      <c r="H619" s="104">
        <f>SUM(H458)</f>
        <v>148392.52999999997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77156.66</v>
      </c>
      <c r="H621" s="104">
        <f>SUM(J458)</f>
        <v>77156.66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5428891.7200000007</v>
      </c>
      <c r="H622" s="104">
        <f>SUM(F462)</f>
        <v>5428891.7200000007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148392.53</v>
      </c>
      <c r="H623" s="104">
        <f>SUM(H462)</f>
        <v>148392.53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10932.06</v>
      </c>
      <c r="H624" s="104">
        <f>I361</f>
        <v>10932.06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75066.83</v>
      </c>
      <c r="H625" s="104">
        <f>SUM(G462)</f>
        <v>75066.83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83599.649999999994</v>
      </c>
      <c r="H626" s="104">
        <f>SUM(I462)</f>
        <v>83599.649999999994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77156.66</v>
      </c>
      <c r="H627" s="164">
        <f>SUM(J458)</f>
        <v>77156.66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31902</v>
      </c>
      <c r="H628" s="164">
        <f>SUM(J462)</f>
        <v>31902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76059.47</v>
      </c>
      <c r="H629" s="104">
        <f>SUM(F451)</f>
        <v>76059.47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193892.36</v>
      </c>
      <c r="H630" s="104">
        <f>SUM(G451)</f>
        <v>193892.36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269951.82999999996</v>
      </c>
      <c r="H632" s="104">
        <f>SUM(I451)</f>
        <v>269951.82999999996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2156.66</v>
      </c>
      <c r="H634" s="104">
        <f>H400</f>
        <v>2156.66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75000</v>
      </c>
      <c r="H635" s="104">
        <f>G400</f>
        <v>75000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77156.66</v>
      </c>
      <c r="H636" s="104">
        <f>L400</f>
        <v>77156.66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213311.77</v>
      </c>
      <c r="H637" s="104">
        <f>L200+L218+L236</f>
        <v>213311.77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68232.94</v>
      </c>
      <c r="H638" s="104">
        <f>(J249+J330)-(J247+J328)</f>
        <v>68232.94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213311.77</v>
      </c>
      <c r="H639" s="104">
        <f>H588</f>
        <v>213311.77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26873.06</v>
      </c>
      <c r="H642" s="104">
        <f>K255+K337</f>
        <v>26873.06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75000</v>
      </c>
      <c r="H645" s="104">
        <f>K258+K339</f>
        <v>75000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4281078.4000000004</v>
      </c>
      <c r="G650" s="19">
        <f>(L221+L301+L351)</f>
        <v>0</v>
      </c>
      <c r="H650" s="19">
        <f>(L239+L320+L352)</f>
        <v>1085533.3700000001</v>
      </c>
      <c r="I650" s="19">
        <f>SUM(F650:H650)</f>
        <v>5366611.7700000005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37391.160000000003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37391.160000000003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189311.77</v>
      </c>
      <c r="G652" s="19">
        <f>(L218+L298)-(J218+J298)</f>
        <v>0</v>
      </c>
      <c r="H652" s="19">
        <f>(L236+L317)-(J236+J317)</f>
        <v>0</v>
      </c>
      <c r="I652" s="19">
        <f>SUM(F652:H652)</f>
        <v>189311.77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151042.26</v>
      </c>
      <c r="G653" s="200">
        <f>SUM(G565:G577)+SUM(I592:I594)+L602</f>
        <v>0</v>
      </c>
      <c r="H653" s="200">
        <f>SUM(H565:H577)+SUM(J592:J594)+L603</f>
        <v>1085533.3700000001</v>
      </c>
      <c r="I653" s="19">
        <f>SUM(F653:H653)</f>
        <v>1236575.6300000001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3903333.2100000004</v>
      </c>
      <c r="G654" s="19">
        <f>G650-SUM(G651:G653)</f>
        <v>0</v>
      </c>
      <c r="H654" s="19">
        <f>H650-SUM(H651:H653)</f>
        <v>0</v>
      </c>
      <c r="I654" s="19">
        <f>I650-SUM(I651:I653)</f>
        <v>3903333.2100000004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249.15</v>
      </c>
      <c r="G655" s="249"/>
      <c r="H655" s="249"/>
      <c r="I655" s="19">
        <f>SUM(F655:H655)</f>
        <v>249.15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15666.6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15666.6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15666.6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15666.6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41D4-D8D9-4D19-9A2F-09515D8E8932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Plainfield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1269295.6400000001</v>
      </c>
      <c r="C9" s="230">
        <f>'DOE25'!G189+'DOE25'!G207+'DOE25'!G225+'DOE25'!G268+'DOE25'!G287+'DOE25'!G306</f>
        <v>521183.68999999994</v>
      </c>
    </row>
    <row r="10" spans="1:3" x14ac:dyDescent="0.2">
      <c r="A10" t="s">
        <v>813</v>
      </c>
      <c r="B10" s="241">
        <f>1203212.25+13894.34</f>
        <v>1217106.5900000001</v>
      </c>
      <c r="C10" s="241">
        <f>+C9*0.96</f>
        <v>500336.34239999991</v>
      </c>
    </row>
    <row r="11" spans="1:3" x14ac:dyDescent="0.2">
      <c r="A11" t="s">
        <v>814</v>
      </c>
      <c r="B11" s="241">
        <v>4935</v>
      </c>
      <c r="C11" s="241">
        <f>0.004*C9</f>
        <v>2084.7347599999998</v>
      </c>
    </row>
    <row r="12" spans="1:3" x14ac:dyDescent="0.2">
      <c r="A12" t="s">
        <v>815</v>
      </c>
      <c r="B12" s="241">
        <f>15736.16+27411.32-5702.43+9809</f>
        <v>47254.049999999996</v>
      </c>
      <c r="C12" s="241">
        <f>+C9-C10-C11</f>
        <v>18762.612840000038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1269295.6400000001</v>
      </c>
      <c r="C13" s="232">
        <f>SUM(C10:C12)</f>
        <v>521183.68999999994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512682.43</v>
      </c>
      <c r="C18" s="230">
        <f>'DOE25'!G190+'DOE25'!G208+'DOE25'!G226+'DOE25'!G269+'DOE25'!G288+'DOE25'!G307</f>
        <v>244546.55</v>
      </c>
    </row>
    <row r="19" spans="1:3" x14ac:dyDescent="0.2">
      <c r="A19" t="s">
        <v>813</v>
      </c>
      <c r="B19" s="241">
        <f>240107+1840</f>
        <v>241947</v>
      </c>
      <c r="C19" s="241">
        <f>+C18*0.472</f>
        <v>115425.97159999999</v>
      </c>
    </row>
    <row r="20" spans="1:3" x14ac:dyDescent="0.2">
      <c r="A20" t="s">
        <v>814</v>
      </c>
      <c r="B20" s="241">
        <f>229639.3+4935+12641+8608</f>
        <v>255823.3</v>
      </c>
      <c r="C20" s="241">
        <f>0.499*C18</f>
        <v>122028.72845</v>
      </c>
    </row>
    <row r="21" spans="1:3" x14ac:dyDescent="0.2">
      <c r="A21" t="s">
        <v>815</v>
      </c>
      <c r="B21" s="241">
        <v>14912.13</v>
      </c>
      <c r="C21" s="241">
        <f>+C18-C19-C20</f>
        <v>7091.8499500000034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512682.43</v>
      </c>
      <c r="C22" s="232">
        <f>SUM(C19:C21)</f>
        <v>244546.55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29014.99</v>
      </c>
      <c r="C36" s="236">
        <f>'DOE25'!G192+'DOE25'!G210+'DOE25'!G228+'DOE25'!G271+'DOE25'!G290+'DOE25'!G309</f>
        <v>3264.44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29014.99</v>
      </c>
      <c r="C39" s="241">
        <v>3264.44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29014.99</v>
      </c>
      <c r="C40" s="232">
        <f>SUM(C37:C39)</f>
        <v>3264.44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6AD5-70F3-401C-A5D7-C0C4715D59ED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Plainfield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3865501.45</v>
      </c>
      <c r="D5" s="20">
        <f>SUM('DOE25'!L189:L192)+SUM('DOE25'!L207:L210)+SUM('DOE25'!L225:L228)-F5-G5</f>
        <v>3845278.4800000004</v>
      </c>
      <c r="E5" s="244"/>
      <c r="F5" s="256">
        <f>SUM('DOE25'!J189:J192)+SUM('DOE25'!J207:J210)+SUM('DOE25'!J225:J228)</f>
        <v>9100.2999999999993</v>
      </c>
      <c r="G5" s="53">
        <f>SUM('DOE25'!K189:K192)+SUM('DOE25'!K207:K210)+SUM('DOE25'!K225:K228)</f>
        <v>11122.67</v>
      </c>
      <c r="H5" s="260"/>
    </row>
    <row r="6" spans="1:9" x14ac:dyDescent="0.2">
      <c r="A6" s="32">
        <v>2100</v>
      </c>
      <c r="B6" t="s">
        <v>835</v>
      </c>
      <c r="C6" s="246">
        <f t="shared" si="0"/>
        <v>216863.74</v>
      </c>
      <c r="D6" s="20">
        <f>'DOE25'!L194+'DOE25'!L212+'DOE25'!L230-F6-G6</f>
        <v>193671.97</v>
      </c>
      <c r="E6" s="244"/>
      <c r="F6" s="256">
        <f>'DOE25'!J194+'DOE25'!J212+'DOE25'!J230</f>
        <v>23076.77</v>
      </c>
      <c r="G6" s="53">
        <f>'DOE25'!K194+'DOE25'!K212+'DOE25'!K230</f>
        <v>115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128672.84999999999</v>
      </c>
      <c r="D7" s="20">
        <f>'DOE25'!L195+'DOE25'!L213+'DOE25'!L231-F7-G7</f>
        <v>127924.96999999999</v>
      </c>
      <c r="E7" s="244"/>
      <c r="F7" s="256">
        <f>'DOE25'!J195+'DOE25'!J213+'DOE25'!J231</f>
        <v>747.88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93492.200000000026</v>
      </c>
      <c r="D8" s="244"/>
      <c r="E8" s="20">
        <f>'DOE25'!L196+'DOE25'!L214+'DOE25'!L232-F8-G8-D9-D11</f>
        <v>87004.640000000029</v>
      </c>
      <c r="F8" s="256">
        <f>'DOE25'!J196+'DOE25'!J214+'DOE25'!J232</f>
        <v>0</v>
      </c>
      <c r="G8" s="53">
        <f>'DOE25'!K196+'DOE25'!K214+'DOE25'!K232</f>
        <v>6487.56</v>
      </c>
      <c r="H8" s="260"/>
    </row>
    <row r="9" spans="1:9" x14ac:dyDescent="0.2">
      <c r="A9" s="32">
        <v>2310</v>
      </c>
      <c r="B9" t="s">
        <v>852</v>
      </c>
      <c r="C9" s="246">
        <f t="shared" si="0"/>
        <v>20572.36</v>
      </c>
      <c r="D9" s="245">
        <f>3150+16411.86+1010.5</f>
        <v>20572.36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8500</v>
      </c>
      <c r="D10" s="244"/>
      <c r="E10" s="245">
        <v>8500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90259.89</v>
      </c>
      <c r="D11" s="245">
        <v>90259.89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218549.98</v>
      </c>
      <c r="D12" s="20">
        <f>'DOE25'!L197+'DOE25'!L215+'DOE25'!L233-F12-G12</f>
        <v>216678.98</v>
      </c>
      <c r="E12" s="244"/>
      <c r="F12" s="256">
        <f>'DOE25'!J197+'DOE25'!J215+'DOE25'!J233</f>
        <v>0</v>
      </c>
      <c r="G12" s="53">
        <f>'DOE25'!K197+'DOE25'!K215+'DOE25'!K233</f>
        <v>1871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295928.17</v>
      </c>
      <c r="D14" s="20">
        <f>'DOE25'!L199+'DOE25'!L217+'DOE25'!L235-F14-G14</f>
        <v>291161.17</v>
      </c>
      <c r="E14" s="244"/>
      <c r="F14" s="256">
        <f>'DOE25'!J199+'DOE25'!J217+'DOE25'!J235</f>
        <v>4292</v>
      </c>
      <c r="G14" s="53">
        <f>'DOE25'!K199+'DOE25'!K217+'DOE25'!K235</f>
        <v>475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213311.77</v>
      </c>
      <c r="D15" s="20">
        <f>'DOE25'!L200+'DOE25'!L218+'DOE25'!L236-F15-G15</f>
        <v>189311.77</v>
      </c>
      <c r="E15" s="244"/>
      <c r="F15" s="256">
        <f>'DOE25'!J200+'DOE25'!J218+'DOE25'!J236</f>
        <v>24000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23718.120000000003</v>
      </c>
      <c r="D22" s="244"/>
      <c r="E22" s="244"/>
      <c r="F22" s="256">
        <f>'DOE25'!L247+'DOE25'!L328</f>
        <v>23718.120000000003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160148.13</v>
      </c>
      <c r="D25" s="244"/>
      <c r="E25" s="244"/>
      <c r="F25" s="259"/>
      <c r="G25" s="257"/>
      <c r="H25" s="258">
        <f>'DOE25'!L252+'DOE25'!L253+'DOE25'!L333+'DOE25'!L334</f>
        <v>160148.13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64134.770000000004</v>
      </c>
      <c r="D29" s="20">
        <f>'DOE25'!L350+'DOE25'!L351+'DOE25'!L352-'DOE25'!I359-F29-G29</f>
        <v>64134.770000000004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148392.53</v>
      </c>
      <c r="D31" s="20">
        <f>'DOE25'!L282+'DOE25'!L301+'DOE25'!L320+'DOE25'!L325+'DOE25'!L326+'DOE25'!L327-F31-G31</f>
        <v>141276.59</v>
      </c>
      <c r="E31" s="244"/>
      <c r="F31" s="256">
        <f>'DOE25'!J282+'DOE25'!J301+'DOE25'!J320+'DOE25'!J325+'DOE25'!J326+'DOE25'!J327</f>
        <v>7015.99</v>
      </c>
      <c r="G31" s="53">
        <f>'DOE25'!K282+'DOE25'!K301+'DOE25'!K320+'DOE25'!K325+'DOE25'!K326+'DOE25'!K327</f>
        <v>99.95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5180270.95</v>
      </c>
      <c r="E33" s="247">
        <f>SUM(E5:E31)</f>
        <v>95504.640000000029</v>
      </c>
      <c r="F33" s="247">
        <f>SUM(F5:F31)</f>
        <v>91951.060000000012</v>
      </c>
      <c r="G33" s="247">
        <f>SUM(G5:G31)</f>
        <v>20171.18</v>
      </c>
      <c r="H33" s="247">
        <f>SUM(H5:H31)</f>
        <v>160148.13</v>
      </c>
    </row>
    <row r="35" spans="2:8" ht="12" thickBot="1" x14ac:dyDescent="0.25">
      <c r="B35" s="254" t="s">
        <v>881</v>
      </c>
      <c r="D35" s="255">
        <f>E33</f>
        <v>95504.640000000029</v>
      </c>
      <c r="E35" s="250"/>
    </row>
    <row r="36" spans="2:8" ht="12" thickTop="1" x14ac:dyDescent="0.2">
      <c r="B36" t="s">
        <v>849</v>
      </c>
      <c r="D36" s="20">
        <f>D33</f>
        <v>5180270.95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D4D5-0C62-4CDB-B11F-B12203B550E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127229.33</v>
      </c>
      <c r="D9" s="95">
        <f>'DOE25'!G9</f>
        <v>0</v>
      </c>
      <c r="E9" s="95">
        <f>'DOE25'!H9</f>
        <v>0</v>
      </c>
      <c r="F9" s="95">
        <f>'DOE25'!I9</f>
        <v>0.77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2272.71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269951.82999999996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35035.910000000003</v>
      </c>
      <c r="D12" s="95">
        <f>'DOE25'!G12</f>
        <v>2186.35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885.77</v>
      </c>
      <c r="E13" s="95">
        <f>'DOE25'!H13</f>
        <v>41903.82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1955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166492.95000000001</v>
      </c>
      <c r="D19" s="41">
        <f>SUM(D9:D18)</f>
        <v>3072.12</v>
      </c>
      <c r="E19" s="41">
        <f>SUM(E9:E18)</f>
        <v>41903.82</v>
      </c>
      <c r="F19" s="41">
        <f>SUM(F9:F18)</f>
        <v>0.77</v>
      </c>
      <c r="G19" s="41">
        <f>SUM(G9:G18)</f>
        <v>269951.82999999996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36801.14</v>
      </c>
      <c r="F22" s="95">
        <f>'DOE25'!I23</f>
        <v>421.89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66684.02</v>
      </c>
      <c r="D24" s="95">
        <f>'DOE25'!G25</f>
        <v>1503.14</v>
      </c>
      <c r="E24" s="95">
        <f>'DOE25'!H25</f>
        <v>3591.1</v>
      </c>
      <c r="F24" s="95">
        <f>'DOE25'!I25</f>
        <v>83177.759999999995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254.98</v>
      </c>
      <c r="D29" s="95">
        <f>'DOE25'!G30</f>
        <v>33.68</v>
      </c>
      <c r="E29" s="95">
        <f>'DOE25'!H30</f>
        <v>11.53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300.05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66939</v>
      </c>
      <c r="D32" s="41">
        <f>SUM(D22:D31)</f>
        <v>1536.8200000000002</v>
      </c>
      <c r="E32" s="41">
        <f>SUM(E22:E31)</f>
        <v>40703.82</v>
      </c>
      <c r="F32" s="41">
        <f>SUM(F22:F31)</f>
        <v>83599.649999999994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1955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22529.18</v>
      </c>
      <c r="D36" s="95">
        <f>'DOE25'!G37</f>
        <v>0</v>
      </c>
      <c r="E36" s="95">
        <f>'DOE25'!H37</f>
        <v>1386.42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1535.3</v>
      </c>
      <c r="E40" s="95">
        <f>'DOE25'!H41</f>
        <v>-186.42000000000007</v>
      </c>
      <c r="F40" s="95">
        <f>'DOE25'!I41</f>
        <v>-83598.87999999999</v>
      </c>
      <c r="G40" s="95">
        <f>'DOE25'!J41</f>
        <v>269951.82999999996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75069.770000000019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99553.950000000012</v>
      </c>
      <c r="D42" s="41">
        <f>SUM(D34:D41)</f>
        <v>1535.3</v>
      </c>
      <c r="E42" s="41">
        <f>SUM(E34:E41)</f>
        <v>1200</v>
      </c>
      <c r="F42" s="41">
        <f>SUM(F34:F41)</f>
        <v>-83598.87999999999</v>
      </c>
      <c r="G42" s="41">
        <f>SUM(G34:G41)</f>
        <v>269951.82999999996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166492.95000000001</v>
      </c>
      <c r="D43" s="41">
        <f>D42+D32</f>
        <v>3072.12</v>
      </c>
      <c r="E43" s="41">
        <f>E42+E32</f>
        <v>41903.82</v>
      </c>
      <c r="F43" s="41">
        <f>F42+F32</f>
        <v>0.77000000000407454</v>
      </c>
      <c r="G43" s="41">
        <f>G42+G32</f>
        <v>269951.82999999996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3528849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1919.52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2156.66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37391.160000000003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21669.56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23589.08</v>
      </c>
      <c r="D54" s="130">
        <f>SUM(D49:D53)</f>
        <v>37391.160000000003</v>
      </c>
      <c r="E54" s="130">
        <f>SUM(E49:E53)</f>
        <v>0</v>
      </c>
      <c r="F54" s="130">
        <f>SUM(F49:F53)</f>
        <v>0</v>
      </c>
      <c r="G54" s="130">
        <f>SUM(G49:G53)</f>
        <v>2156.66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3552438.08</v>
      </c>
      <c r="D55" s="22">
        <f>D48+D54</f>
        <v>37391.160000000003</v>
      </c>
      <c r="E55" s="22">
        <f>E48+E54</f>
        <v>0</v>
      </c>
      <c r="F55" s="22">
        <f>F48+F54</f>
        <v>0</v>
      </c>
      <c r="G55" s="22">
        <f>G48+G54</f>
        <v>2156.66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603928.6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588524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231709.4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1424162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45967.02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688.47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45967.02</v>
      </c>
      <c r="D70" s="130">
        <f>SUM(D64:D69)</f>
        <v>688.47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1470129.02</v>
      </c>
      <c r="D73" s="130">
        <f>SUM(D71:D72)+D70+D62</f>
        <v>688.47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37649.339999999997</v>
      </c>
      <c r="D80" s="95">
        <f>SUM('DOE25'!G145:G153)</f>
        <v>10114.14</v>
      </c>
      <c r="E80" s="95">
        <f>SUM('DOE25'!H145:H153)</f>
        <v>148392.52999999997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37649.339999999997</v>
      </c>
      <c r="D83" s="131">
        <f>SUM(D77:D82)</f>
        <v>10114.14</v>
      </c>
      <c r="E83" s="131">
        <f>SUM(E77:E82)</f>
        <v>148392.52999999997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26873.06</v>
      </c>
      <c r="E88" s="95">
        <f>'DOE25'!H171</f>
        <v>0</v>
      </c>
      <c r="F88" s="95">
        <f>'DOE25'!I171</f>
        <v>0</v>
      </c>
      <c r="G88" s="95">
        <f>'DOE25'!J171</f>
        <v>75000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31902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31902</v>
      </c>
      <c r="D95" s="86">
        <f>SUM(D85:D94)</f>
        <v>26873.06</v>
      </c>
      <c r="E95" s="86">
        <f>SUM(E85:E94)</f>
        <v>0</v>
      </c>
      <c r="F95" s="86">
        <f>SUM(F85:F94)</f>
        <v>0</v>
      </c>
      <c r="G95" s="86">
        <f>SUM(G85:G94)</f>
        <v>75000</v>
      </c>
    </row>
    <row r="96" spans="1:7" ht="12.75" thickTop="1" thickBot="1" x14ac:dyDescent="0.25">
      <c r="A96" s="33" t="s">
        <v>797</v>
      </c>
      <c r="C96" s="86">
        <f>C55+C73+C83+C95</f>
        <v>5092118.4399999995</v>
      </c>
      <c r="D96" s="86">
        <f>D55+D73+D83+D95</f>
        <v>75066.83</v>
      </c>
      <c r="E96" s="86">
        <f>E55+E73+E83+E95</f>
        <v>148392.52999999997</v>
      </c>
      <c r="F96" s="86">
        <f>F55+F73+F83+F95</f>
        <v>0</v>
      </c>
      <c r="G96" s="86">
        <f>G55+G73+G95</f>
        <v>77156.66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2942152.23</v>
      </c>
      <c r="D101" s="24" t="s">
        <v>312</v>
      </c>
      <c r="E101" s="95">
        <f>('DOE25'!L268)+('DOE25'!L287)+('DOE25'!L306)</f>
        <v>45881.96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883821.18</v>
      </c>
      <c r="D102" s="24" t="s">
        <v>312</v>
      </c>
      <c r="E102" s="95">
        <f>('DOE25'!L269)+('DOE25'!L288)+('DOE25'!L307)</f>
        <v>80085.95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39528.04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3865501.45</v>
      </c>
      <c r="D107" s="86">
        <f>SUM(D101:D106)</f>
        <v>0</v>
      </c>
      <c r="E107" s="86">
        <f>SUM(E101:E106)</f>
        <v>125967.91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216863.74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128672.84999999999</v>
      </c>
      <c r="D111" s="24" t="s">
        <v>312</v>
      </c>
      <c r="E111" s="95">
        <f>+('DOE25'!L274)+('DOE25'!L293)+('DOE25'!L312)</f>
        <v>22424.62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204324.45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218549.98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295928.17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213311.77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75066.83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1277650.96</v>
      </c>
      <c r="D120" s="86">
        <f>SUM(D110:D119)</f>
        <v>75066.83</v>
      </c>
      <c r="E120" s="86">
        <f>SUM(E110:E119)</f>
        <v>22424.62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23718.120000000003</v>
      </c>
      <c r="D122" s="24" t="s">
        <v>312</v>
      </c>
      <c r="E122" s="129">
        <f>'DOE25'!L328</f>
        <v>0</v>
      </c>
      <c r="F122" s="129">
        <f>SUM('DOE25'!L366:'DOE25'!L372)</f>
        <v>83599.649999999994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15148.13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31902</v>
      </c>
    </row>
    <row r="127" spans="1:7" x14ac:dyDescent="0.2">
      <c r="A127" t="s">
        <v>256</v>
      </c>
      <c r="B127" s="32" t="s">
        <v>257</v>
      </c>
      <c r="C127" s="95">
        <f>'DOE25'!L255</f>
        <v>26873.06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10403.209999999999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66753.45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-2156.6600000000035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285739.30999999994</v>
      </c>
      <c r="D136" s="141">
        <f>SUM(D122:D135)</f>
        <v>0</v>
      </c>
      <c r="E136" s="141">
        <f>SUM(E122:E135)</f>
        <v>0</v>
      </c>
      <c r="F136" s="141">
        <f>SUM(F122:F135)</f>
        <v>83599.649999999994</v>
      </c>
      <c r="G136" s="141">
        <f>SUM(G122:G135)</f>
        <v>31902</v>
      </c>
    </row>
    <row r="137" spans="1:9" ht="12.75" thickTop="1" thickBot="1" x14ac:dyDescent="0.25">
      <c r="A137" s="33" t="s">
        <v>267</v>
      </c>
      <c r="C137" s="86">
        <f>(C107+C120+C136)</f>
        <v>5428891.7199999997</v>
      </c>
      <c r="D137" s="86">
        <f>(D107+D120+D136)</f>
        <v>75066.83</v>
      </c>
      <c r="E137" s="86">
        <f>(E107+E120+E136)</f>
        <v>148392.53</v>
      </c>
      <c r="F137" s="86">
        <f>(F107+F120+F136)</f>
        <v>83599.649999999994</v>
      </c>
      <c r="G137" s="86">
        <f>(G107+G120+G136)</f>
        <v>31902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7/00</v>
      </c>
      <c r="C144" s="152" t="str">
        <f>'DOE25'!G481</f>
        <v>7/07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8/10</v>
      </c>
      <c r="C145" s="152" t="str">
        <f>'DOE25'!G482</f>
        <v>8/12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875000</v>
      </c>
      <c r="C146" s="137">
        <f>'DOE25'!G483</f>
        <v>300000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4.08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170000</v>
      </c>
      <c r="C148" s="137">
        <f>'DOE25'!G485</f>
        <v>240000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85000</v>
      </c>
      <c r="C150" s="137">
        <f>'DOE25'!G487</f>
        <v>60000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145000</v>
      </c>
    </row>
    <row r="151" spans="1:7" x14ac:dyDescent="0.2">
      <c r="A151" s="22" t="s">
        <v>35</v>
      </c>
      <c r="B151" s="137">
        <f>'DOE25'!F488</f>
        <v>85000</v>
      </c>
      <c r="C151" s="137">
        <f>'DOE25'!G488</f>
        <v>180000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265000</v>
      </c>
    </row>
    <row r="152" spans="1:7" x14ac:dyDescent="0.2">
      <c r="A152" s="22" t="s">
        <v>36</v>
      </c>
      <c r="B152" s="137">
        <f>'DOE25'!F489</f>
        <v>2210</v>
      </c>
      <c r="C152" s="137">
        <f>'DOE25'!G489</f>
        <v>11175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13385</v>
      </c>
    </row>
    <row r="153" spans="1:7" x14ac:dyDescent="0.2">
      <c r="A153" s="22" t="s">
        <v>37</v>
      </c>
      <c r="B153" s="137">
        <f>'DOE25'!F490</f>
        <v>87210</v>
      </c>
      <c r="C153" s="137">
        <f>'DOE25'!G490</f>
        <v>191175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278385</v>
      </c>
    </row>
    <row r="154" spans="1:7" x14ac:dyDescent="0.2">
      <c r="A154" s="22" t="s">
        <v>38</v>
      </c>
      <c r="B154" s="137">
        <f>'DOE25'!F491</f>
        <v>85000</v>
      </c>
      <c r="C154" s="137">
        <f>'DOE25'!G491</f>
        <v>60000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145000</v>
      </c>
    </row>
    <row r="155" spans="1:7" x14ac:dyDescent="0.2">
      <c r="A155" s="22" t="s">
        <v>39</v>
      </c>
      <c r="B155" s="137">
        <f>'DOE25'!F492</f>
        <v>2210</v>
      </c>
      <c r="C155" s="137">
        <f>'DOE25'!G492</f>
        <v>6150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8360</v>
      </c>
    </row>
    <row r="156" spans="1:7" x14ac:dyDescent="0.2">
      <c r="A156" s="22" t="s">
        <v>269</v>
      </c>
      <c r="B156" s="137">
        <f>'DOE25'!F493</f>
        <v>87210</v>
      </c>
      <c r="C156" s="137">
        <f>'DOE25'!G493</f>
        <v>66150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153360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4FF8-9512-42F6-AA99-324141DC2A0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Plainfield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15667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15667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2988034</v>
      </c>
      <c r="D10" s="182">
        <f>ROUND((C10/$C$28)*100,1)</f>
        <v>55.9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963907</v>
      </c>
      <c r="D11" s="182">
        <f>ROUND((C11/$C$28)*100,1)</f>
        <v>18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39528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216864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151097</v>
      </c>
      <c r="D16" s="182">
        <f t="shared" si="0"/>
        <v>2.8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204324</v>
      </c>
      <c r="D17" s="182">
        <f t="shared" si="0"/>
        <v>3.8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218550</v>
      </c>
      <c r="D18" s="182">
        <f t="shared" si="0"/>
        <v>4.0999999999999996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295928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213312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15148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37675.839999999997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5344367.84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107318</v>
      </c>
    </row>
    <row r="30" spans="1:4" x14ac:dyDescent="0.2">
      <c r="B30" s="187" t="s">
        <v>760</v>
      </c>
      <c r="C30" s="180">
        <f>SUM(C28:C29)</f>
        <v>5451685.8399999999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3528849</v>
      </c>
      <c r="D35" s="182">
        <f t="shared" ref="D35:D40" si="1">ROUND((C35/$C$41)*100,1)</f>
        <v>67.599999999999994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25745.740000000224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1192453</v>
      </c>
      <c r="D37" s="182">
        <f t="shared" si="1"/>
        <v>22.8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278365</v>
      </c>
      <c r="D38" s="182">
        <f t="shared" si="1"/>
        <v>5.3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196156</v>
      </c>
      <c r="D39" s="182">
        <f t="shared" si="1"/>
        <v>3.8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5221568.74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B54B-50E1-4A26-94C9-454D792A222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Plainfield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  <mergeCell ref="C82:M82"/>
    <mergeCell ref="C75:M75"/>
    <mergeCell ref="C76:M76"/>
    <mergeCell ref="C77:M77"/>
    <mergeCell ref="C78:M78"/>
    <mergeCell ref="C79:M79"/>
    <mergeCell ref="C70:M70"/>
    <mergeCell ref="A72:E72"/>
    <mergeCell ref="C73:M73"/>
    <mergeCell ref="C74:M74"/>
    <mergeCell ref="C80:M80"/>
    <mergeCell ref="C81:M81"/>
    <mergeCell ref="C64:M64"/>
    <mergeCell ref="C65:M65"/>
    <mergeCell ref="C66:M66"/>
    <mergeCell ref="C67:M67"/>
    <mergeCell ref="C68:M68"/>
    <mergeCell ref="C69:M69"/>
    <mergeCell ref="C20:M20"/>
    <mergeCell ref="C29:M29"/>
    <mergeCell ref="C25:M25"/>
    <mergeCell ref="C26:M26"/>
    <mergeCell ref="C62:M62"/>
    <mergeCell ref="C63:M63"/>
    <mergeCell ref="C27:M27"/>
    <mergeCell ref="C28:M28"/>
    <mergeCell ref="C21:M21"/>
    <mergeCell ref="C22:M22"/>
    <mergeCell ref="C37:M37"/>
    <mergeCell ref="C38:M38"/>
    <mergeCell ref="C39:M39"/>
    <mergeCell ref="C40:M40"/>
    <mergeCell ref="C13:M13"/>
    <mergeCell ref="C34:M34"/>
    <mergeCell ref="C35:M35"/>
    <mergeCell ref="C36:M36"/>
    <mergeCell ref="C14:M14"/>
    <mergeCell ref="C15:M15"/>
    <mergeCell ref="C45:M45"/>
    <mergeCell ref="C46:M46"/>
    <mergeCell ref="C44:M44"/>
    <mergeCell ref="C52:M52"/>
    <mergeCell ref="C50:M50"/>
    <mergeCell ref="C47:M47"/>
    <mergeCell ref="C48:M48"/>
    <mergeCell ref="C49:M49"/>
    <mergeCell ref="C51:M51"/>
    <mergeCell ref="C43:M43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C12:M12"/>
    <mergeCell ref="AP40:AZ40"/>
    <mergeCell ref="HC29:HM29"/>
    <mergeCell ref="HP29:HZ29"/>
    <mergeCell ref="IC29:IM29"/>
    <mergeCell ref="FC29:FM29"/>
    <mergeCell ref="FP29:FZ29"/>
    <mergeCell ref="GC29:GM29"/>
    <mergeCell ref="GP29:GZ29"/>
    <mergeCell ref="BC29:BM29"/>
    <mergeCell ref="BP29:BZ29"/>
    <mergeCell ref="C42:M42"/>
    <mergeCell ref="P30:Z30"/>
    <mergeCell ref="AC30:AM30"/>
    <mergeCell ref="AP30:AZ30"/>
    <mergeCell ref="C41:M41"/>
    <mergeCell ref="C33:M33"/>
    <mergeCell ref="P40:Z40"/>
    <mergeCell ref="AC40:AM40"/>
    <mergeCell ref="P38:Z38"/>
    <mergeCell ref="AC38:AM38"/>
    <mergeCell ref="EC29:EM29"/>
    <mergeCell ref="EP29:EZ29"/>
    <mergeCell ref="P29:Z29"/>
    <mergeCell ref="AC29:AM29"/>
    <mergeCell ref="CC29:CM29"/>
    <mergeCell ref="CP29:CZ29"/>
    <mergeCell ref="DC29:DM29"/>
    <mergeCell ref="DP29:DZ29"/>
    <mergeCell ref="EP30:EZ30"/>
    <mergeCell ref="BC30:BM30"/>
    <mergeCell ref="BP30:BZ30"/>
    <mergeCell ref="IC30:IM30"/>
    <mergeCell ref="IP30:IV30"/>
    <mergeCell ref="FP30:FZ30"/>
    <mergeCell ref="GC30:GM30"/>
    <mergeCell ref="GP30:GZ30"/>
    <mergeCell ref="HC30:HM30"/>
    <mergeCell ref="HP30:HZ30"/>
    <mergeCell ref="CC39:CM39"/>
    <mergeCell ref="BC31:BM31"/>
    <mergeCell ref="BC32:BM32"/>
    <mergeCell ref="DC31:DM31"/>
    <mergeCell ref="FC30:FM30"/>
    <mergeCell ref="CC30:CM30"/>
    <mergeCell ref="CP30:CZ30"/>
    <mergeCell ref="DC30:DM30"/>
    <mergeCell ref="DP30:DZ30"/>
    <mergeCell ref="EC30:EM30"/>
    <mergeCell ref="IC31:IM31"/>
    <mergeCell ref="BC39:BM39"/>
    <mergeCell ref="BP31:BZ31"/>
    <mergeCell ref="CC31:CM31"/>
    <mergeCell ref="CP31:CZ31"/>
    <mergeCell ref="CP38:CZ38"/>
    <mergeCell ref="BP39:BZ39"/>
    <mergeCell ref="BP32:BZ32"/>
    <mergeCell ref="BC38:BM38"/>
    <mergeCell ref="CP32:CZ32"/>
    <mergeCell ref="DC32:DM32"/>
    <mergeCell ref="DP31:DZ31"/>
    <mergeCell ref="EC31:EM31"/>
    <mergeCell ref="EP31:EZ31"/>
    <mergeCell ref="FC31:FM31"/>
    <mergeCell ref="IP31:IV31"/>
    <mergeCell ref="HP32:HZ32"/>
    <mergeCell ref="IC32:IM32"/>
    <mergeCell ref="IP32:IV32"/>
    <mergeCell ref="HP31:HZ31"/>
    <mergeCell ref="FP31:FZ31"/>
    <mergeCell ref="GC31:GM31"/>
    <mergeCell ref="HC32:HM32"/>
    <mergeCell ref="GP31:GZ31"/>
    <mergeCell ref="HC31:HM31"/>
    <mergeCell ref="AP38:AZ38"/>
    <mergeCell ref="GP32:GZ32"/>
    <mergeCell ref="BP38:BZ38"/>
    <mergeCell ref="CC38:CM38"/>
    <mergeCell ref="CC32:CM32"/>
    <mergeCell ref="GC32:GM32"/>
    <mergeCell ref="GC38:GM38"/>
    <mergeCell ref="DP32:DZ32"/>
    <mergeCell ref="EC32:EM32"/>
    <mergeCell ref="EP32:EZ32"/>
    <mergeCell ref="FP32:FZ32"/>
    <mergeCell ref="FC32:FM32"/>
    <mergeCell ref="EP38:EZ38"/>
    <mergeCell ref="FC38:FM38"/>
    <mergeCell ref="FP38:FZ38"/>
    <mergeCell ref="HP38:HZ38"/>
    <mergeCell ref="IC38:IM38"/>
    <mergeCell ref="IP39:IV39"/>
    <mergeCell ref="EP39:EZ39"/>
    <mergeCell ref="FC39:FM39"/>
    <mergeCell ref="FP39:FZ39"/>
    <mergeCell ref="GP39:GZ39"/>
    <mergeCell ref="GC39:GM39"/>
    <mergeCell ref="HC39:HM39"/>
    <mergeCell ref="DC39:DM39"/>
    <mergeCell ref="DP39:DZ39"/>
    <mergeCell ref="EC39:EM39"/>
    <mergeCell ref="GP38:GZ38"/>
    <mergeCell ref="HC38:HM38"/>
    <mergeCell ref="DC38:DM38"/>
    <mergeCell ref="DP38:DZ38"/>
    <mergeCell ref="EC38:EM38"/>
    <mergeCell ref="CP39:CZ39"/>
    <mergeCell ref="BC40:BM40"/>
    <mergeCell ref="BP40:BZ40"/>
    <mergeCell ref="FC40:FM40"/>
    <mergeCell ref="IP38:IV38"/>
    <mergeCell ref="P39:Z39"/>
    <mergeCell ref="AC39:AM39"/>
    <mergeCell ref="AP39:AZ39"/>
    <mergeCell ref="HP39:HZ39"/>
    <mergeCell ref="IC39:IM39"/>
    <mergeCell ref="FP40:FZ40"/>
    <mergeCell ref="CC40:CM40"/>
    <mergeCell ref="CP40:CZ40"/>
    <mergeCell ref="DC40:DM40"/>
    <mergeCell ref="EP40:EZ40"/>
    <mergeCell ref="EC40:EM40"/>
    <mergeCell ref="DP40:DZ40"/>
    <mergeCell ref="IP40:IV40"/>
    <mergeCell ref="GC40:GM40"/>
    <mergeCell ref="GP40:GZ40"/>
    <mergeCell ref="HC40:HM40"/>
    <mergeCell ref="HP40:HZ40"/>
    <mergeCell ref="IC40:IM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2010-10-14T16:46:56Z</cp:lastPrinted>
  <dcterms:created xsi:type="dcterms:W3CDTF">1997-12-04T19:04:30Z</dcterms:created>
  <dcterms:modified xsi:type="dcterms:W3CDTF">2025-01-09T20:26:08Z</dcterms:modified>
</cp:coreProperties>
</file>