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53CAA71-6253-45E3-A529-A030DCCF462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55EBC74-86F2-4CFA-B7E6-054A2A6FFC6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C40" i="10"/>
  <c r="C37" i="10"/>
  <c r="L242" i="1"/>
  <c r="L324" i="1"/>
  <c r="C23" i="10" s="1"/>
  <c r="L253" i="1"/>
  <c r="C25" i="10" s="1"/>
  <c r="L334" i="1"/>
  <c r="L260" i="1"/>
  <c r="L261" i="1"/>
  <c r="C26" i="10" s="1"/>
  <c r="L341" i="1"/>
  <c r="L342" i="1"/>
  <c r="C42" i="10"/>
  <c r="L252" i="1"/>
  <c r="L333" i="1"/>
  <c r="C32" i="10" s="1"/>
  <c r="L247" i="1"/>
  <c r="C29" i="10" s="1"/>
  <c r="L328" i="1"/>
  <c r="L366" i="1"/>
  <c r="L367" i="1"/>
  <c r="L368" i="1"/>
  <c r="L374" i="1" s="1"/>
  <c r="G626" i="1" s="1"/>
  <c r="J626" i="1" s="1"/>
  <c r="L369" i="1"/>
  <c r="L370" i="1"/>
  <c r="L371" i="1"/>
  <c r="L372" i="1"/>
  <c r="B2" i="10"/>
  <c r="L350" i="1"/>
  <c r="F651" i="1" s="1"/>
  <c r="L351" i="1"/>
  <c r="G651" i="1" s="1"/>
  <c r="L352" i="1"/>
  <c r="H651" i="1" s="1"/>
  <c r="L353" i="1"/>
  <c r="L243" i="1"/>
  <c r="L244" i="1"/>
  <c r="L245" i="1"/>
  <c r="L246" i="1"/>
  <c r="L325" i="1"/>
  <c r="L326" i="1"/>
  <c r="L327" i="1"/>
  <c r="C24" i="10"/>
  <c r="L190" i="1"/>
  <c r="L203" i="1" s="1"/>
  <c r="L208" i="1"/>
  <c r="L226" i="1"/>
  <c r="L269" i="1"/>
  <c r="L282" i="1" s="1"/>
  <c r="L288" i="1"/>
  <c r="L307" i="1"/>
  <c r="L191" i="1"/>
  <c r="C12" i="10" s="1"/>
  <c r="L209" i="1"/>
  <c r="L227" i="1"/>
  <c r="L270" i="1"/>
  <c r="L289" i="1"/>
  <c r="L308" i="1"/>
  <c r="L192" i="1"/>
  <c r="L210" i="1"/>
  <c r="C13" i="10" s="1"/>
  <c r="L228" i="1"/>
  <c r="L271" i="1"/>
  <c r="L290" i="1"/>
  <c r="L309" i="1"/>
  <c r="L194" i="1"/>
  <c r="D6" i="13" s="1"/>
  <c r="C6" i="13" s="1"/>
  <c r="L212" i="1"/>
  <c r="L230" i="1"/>
  <c r="L273" i="1"/>
  <c r="L292" i="1"/>
  <c r="L311" i="1"/>
  <c r="C15" i="10"/>
  <c r="L195" i="1"/>
  <c r="L213" i="1"/>
  <c r="L231" i="1"/>
  <c r="L274" i="1"/>
  <c r="L293" i="1"/>
  <c r="L312" i="1"/>
  <c r="C16" i="10" s="1"/>
  <c r="L196" i="1"/>
  <c r="L201" i="1"/>
  <c r="L214" i="1"/>
  <c r="L219" i="1"/>
  <c r="L232" i="1"/>
  <c r="C112" i="2" s="1"/>
  <c r="L237" i="1"/>
  <c r="L275" i="1"/>
  <c r="L280" i="1"/>
  <c r="L294" i="1"/>
  <c r="L299" i="1"/>
  <c r="L313" i="1"/>
  <c r="L318" i="1"/>
  <c r="L197" i="1"/>
  <c r="C18" i="10" s="1"/>
  <c r="L215" i="1"/>
  <c r="L233" i="1"/>
  <c r="L276" i="1"/>
  <c r="E113" i="2" s="1"/>
  <c r="L295" i="1"/>
  <c r="L314" i="1"/>
  <c r="L198" i="1"/>
  <c r="C19" i="10" s="1"/>
  <c r="L216" i="1"/>
  <c r="L234" i="1"/>
  <c r="E13" i="13" s="1"/>
  <c r="C13" i="13" s="1"/>
  <c r="L277" i="1"/>
  <c r="L296" i="1"/>
  <c r="L315" i="1"/>
  <c r="L199" i="1"/>
  <c r="L217" i="1"/>
  <c r="C20" i="10" s="1"/>
  <c r="L235" i="1"/>
  <c r="L278" i="1"/>
  <c r="L297" i="1"/>
  <c r="L316" i="1"/>
  <c r="L200" i="1"/>
  <c r="D15" i="13" s="1"/>
  <c r="C15" i="13" s="1"/>
  <c r="L218" i="1"/>
  <c r="G652" i="1" s="1"/>
  <c r="I652" i="1" s="1"/>
  <c r="L236" i="1"/>
  <c r="L279" i="1"/>
  <c r="L298" i="1"/>
  <c r="L317" i="1"/>
  <c r="C21" i="10"/>
  <c r="L189" i="1"/>
  <c r="L207" i="1"/>
  <c r="L225" i="1"/>
  <c r="L268" i="1"/>
  <c r="L287" i="1"/>
  <c r="L301" i="1" s="1"/>
  <c r="L306" i="1"/>
  <c r="C10" i="10" s="1"/>
  <c r="F113" i="1"/>
  <c r="F128" i="1"/>
  <c r="F132" i="1"/>
  <c r="G113" i="1"/>
  <c r="G128" i="1"/>
  <c r="G132" i="1" s="1"/>
  <c r="H113" i="1"/>
  <c r="H128" i="1"/>
  <c r="H132" i="1"/>
  <c r="I113" i="1"/>
  <c r="I128" i="1"/>
  <c r="I132" i="1"/>
  <c r="J113" i="1"/>
  <c r="J128" i="1"/>
  <c r="J132" i="1"/>
  <c r="F139" i="1"/>
  <c r="F161" i="1" s="1"/>
  <c r="F154" i="1"/>
  <c r="G139" i="1"/>
  <c r="G161" i="1" s="1"/>
  <c r="G154" i="1"/>
  <c r="H139" i="1"/>
  <c r="H154" i="1"/>
  <c r="H161" i="1" s="1"/>
  <c r="I139" i="1"/>
  <c r="I154" i="1"/>
  <c r="I161" i="1" s="1"/>
  <c r="F52" i="1"/>
  <c r="C35" i="10" s="1"/>
  <c r="G52" i="1"/>
  <c r="H52" i="1"/>
  <c r="I52" i="1"/>
  <c r="I104" i="1" s="1"/>
  <c r="J52" i="1"/>
  <c r="F71" i="1"/>
  <c r="F86" i="1"/>
  <c r="F103" i="1"/>
  <c r="F104" i="1"/>
  <c r="G103" i="1"/>
  <c r="G104" i="1"/>
  <c r="H71" i="1"/>
  <c r="H86" i="1"/>
  <c r="H103" i="1"/>
  <c r="H104" i="1"/>
  <c r="I103" i="1"/>
  <c r="J103" i="1"/>
  <c r="J104" i="1" s="1"/>
  <c r="J185" i="1" s="1"/>
  <c r="F652" i="1"/>
  <c r="L601" i="1"/>
  <c r="L604" i="1" s="1"/>
  <c r="F653" i="1"/>
  <c r="I653" i="1" s="1"/>
  <c r="L602" i="1"/>
  <c r="G653" i="1"/>
  <c r="I655" i="1"/>
  <c r="I660" i="1"/>
  <c r="H652" i="1"/>
  <c r="L603" i="1"/>
  <c r="H653" i="1" s="1"/>
  <c r="I659" i="1"/>
  <c r="I359" i="1"/>
  <c r="D29" i="13" s="1"/>
  <c r="C29" i="13" s="1"/>
  <c r="J282" i="1"/>
  <c r="J330" i="1" s="1"/>
  <c r="J344" i="1" s="1"/>
  <c r="J301" i="1"/>
  <c r="J320" i="1"/>
  <c r="K282" i="1"/>
  <c r="K301" i="1"/>
  <c r="K320" i="1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L336" i="1"/>
  <c r="L337" i="1"/>
  <c r="L338" i="1"/>
  <c r="L339" i="1"/>
  <c r="K343" i="1"/>
  <c r="L511" i="1"/>
  <c r="L514" i="1" s="1"/>
  <c r="F539" i="1"/>
  <c r="L512" i="1"/>
  <c r="F540" i="1" s="1"/>
  <c r="K540" i="1" s="1"/>
  <c r="L513" i="1"/>
  <c r="F541" i="1"/>
  <c r="L516" i="1"/>
  <c r="G539" i="1" s="1"/>
  <c r="L517" i="1"/>
  <c r="G540" i="1"/>
  <c r="L518" i="1"/>
  <c r="G541" i="1" s="1"/>
  <c r="L521" i="1"/>
  <c r="L524" i="1" s="1"/>
  <c r="L522" i="1"/>
  <c r="H540" i="1"/>
  <c r="L523" i="1"/>
  <c r="H541" i="1"/>
  <c r="L526" i="1"/>
  <c r="I539" i="1"/>
  <c r="L527" i="1"/>
  <c r="I540" i="1" s="1"/>
  <c r="L528" i="1"/>
  <c r="I541" i="1" s="1"/>
  <c r="L531" i="1"/>
  <c r="J539" i="1"/>
  <c r="L532" i="1"/>
  <c r="J540" i="1"/>
  <c r="L533" i="1"/>
  <c r="J541" i="1" s="1"/>
  <c r="K262" i="1"/>
  <c r="J262" i="1"/>
  <c r="I262" i="1"/>
  <c r="L262" i="1" s="1"/>
  <c r="H262" i="1"/>
  <c r="G262" i="1"/>
  <c r="F262" i="1"/>
  <c r="I431" i="1"/>
  <c r="J9" i="1"/>
  <c r="I432" i="1"/>
  <c r="I438" i="1" s="1"/>
  <c r="G632" i="1" s="1"/>
  <c r="I433" i="1"/>
  <c r="J12" i="1" s="1"/>
  <c r="G12" i="2" s="1"/>
  <c r="I434" i="1"/>
  <c r="J13" i="1"/>
  <c r="I435" i="1"/>
  <c r="J14" i="1" s="1"/>
  <c r="G14" i="2" s="1"/>
  <c r="I436" i="1"/>
  <c r="J17" i="1" s="1"/>
  <c r="G17" i="2" s="1"/>
  <c r="I437" i="1"/>
  <c r="J18" i="1"/>
  <c r="I440" i="1"/>
  <c r="J23" i="1" s="1"/>
  <c r="I441" i="1"/>
  <c r="J24" i="1" s="1"/>
  <c r="G23" i="2" s="1"/>
  <c r="I442" i="1"/>
  <c r="J25" i="1"/>
  <c r="I443" i="1"/>
  <c r="I444" i="1" s="1"/>
  <c r="I451" i="1" s="1"/>
  <c r="H632" i="1" s="1"/>
  <c r="I446" i="1"/>
  <c r="J37" i="1" s="1"/>
  <c r="I447" i="1"/>
  <c r="J38" i="1"/>
  <c r="I448" i="1"/>
  <c r="J40" i="1" s="1"/>
  <c r="G39" i="2" s="1"/>
  <c r="I449" i="1"/>
  <c r="J41" i="1" s="1"/>
  <c r="G40" i="2" s="1"/>
  <c r="K411" i="1"/>
  <c r="K419" i="1"/>
  <c r="K426" i="1" s="1"/>
  <c r="G126" i="2" s="1"/>
  <c r="G136" i="2" s="1"/>
  <c r="K425" i="1"/>
  <c r="L255" i="1"/>
  <c r="L256" i="1"/>
  <c r="L257" i="1"/>
  <c r="F490" i="1"/>
  <c r="K490" i="1" s="1"/>
  <c r="G490" i="1"/>
  <c r="H490" i="1"/>
  <c r="I490" i="1"/>
  <c r="J490" i="1"/>
  <c r="F493" i="1"/>
  <c r="G493" i="1"/>
  <c r="H493" i="1"/>
  <c r="D156" i="2" s="1"/>
  <c r="I493" i="1"/>
  <c r="J493" i="1"/>
  <c r="F19" i="1"/>
  <c r="G19" i="1"/>
  <c r="H19" i="1"/>
  <c r="I19" i="1"/>
  <c r="G610" i="1" s="1"/>
  <c r="J610" i="1" s="1"/>
  <c r="F33" i="1"/>
  <c r="F44" i="1" s="1"/>
  <c r="H607" i="1" s="1"/>
  <c r="J607" i="1" s="1"/>
  <c r="G33" i="1"/>
  <c r="G44" i="1" s="1"/>
  <c r="H608" i="1" s="1"/>
  <c r="H33" i="1"/>
  <c r="I33" i="1"/>
  <c r="F43" i="1"/>
  <c r="G43" i="1"/>
  <c r="H43" i="1"/>
  <c r="I43" i="1"/>
  <c r="H44" i="1"/>
  <c r="H609" i="1" s="1"/>
  <c r="I44" i="1"/>
  <c r="H610" i="1" s="1"/>
  <c r="F169" i="1"/>
  <c r="F184" i="1" s="1"/>
  <c r="I169" i="1"/>
  <c r="I184" i="1" s="1"/>
  <c r="F175" i="1"/>
  <c r="G175" i="1"/>
  <c r="G184" i="1" s="1"/>
  <c r="H175" i="1"/>
  <c r="I175" i="1"/>
  <c r="J175" i="1"/>
  <c r="J184" i="1" s="1"/>
  <c r="F180" i="1"/>
  <c r="G180" i="1"/>
  <c r="H180" i="1"/>
  <c r="I180" i="1"/>
  <c r="H184" i="1"/>
  <c r="F203" i="1"/>
  <c r="F249" i="1" s="1"/>
  <c r="F263" i="1" s="1"/>
  <c r="G203" i="1"/>
  <c r="G249" i="1" s="1"/>
  <c r="G263" i="1" s="1"/>
  <c r="H203" i="1"/>
  <c r="I203" i="1"/>
  <c r="J203" i="1"/>
  <c r="J249" i="1" s="1"/>
  <c r="K203" i="1"/>
  <c r="F221" i="1"/>
  <c r="G221" i="1"/>
  <c r="H221" i="1"/>
  <c r="H249" i="1" s="1"/>
  <c r="H263" i="1" s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I249" i="1"/>
  <c r="I263" i="1" s="1"/>
  <c r="F282" i="1"/>
  <c r="F330" i="1" s="1"/>
  <c r="F344" i="1" s="1"/>
  <c r="G282" i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G330" i="1"/>
  <c r="G344" i="1" s="1"/>
  <c r="H330" i="1"/>
  <c r="H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I393" i="1"/>
  <c r="F399" i="1"/>
  <c r="G399" i="1"/>
  <c r="H399" i="1"/>
  <c r="I399" i="1"/>
  <c r="H400" i="1"/>
  <c r="H634" i="1" s="1"/>
  <c r="J634" i="1" s="1"/>
  <c r="I400" i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G411" i="1"/>
  <c r="H411" i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50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K514" i="1"/>
  <c r="K535" i="1" s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5" i="1"/>
  <c r="J535" i="1"/>
  <c r="L547" i="1"/>
  <c r="L548" i="1"/>
  <c r="L549" i="1"/>
  <c r="F550" i="1"/>
  <c r="G550" i="1"/>
  <c r="G561" i="1" s="1"/>
  <c r="H550" i="1"/>
  <c r="H561" i="1" s="1"/>
  <c r="I550" i="1"/>
  <c r="J550" i="1"/>
  <c r="K550" i="1"/>
  <c r="L550" i="1"/>
  <c r="L561" i="1" s="1"/>
  <c r="L552" i="1"/>
  <c r="L553" i="1"/>
  <c r="L555" i="1" s="1"/>
  <c r="L554" i="1"/>
  <c r="F555" i="1"/>
  <c r="G555" i="1"/>
  <c r="H555" i="1"/>
  <c r="I555" i="1"/>
  <c r="J555" i="1"/>
  <c r="J561" i="1" s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F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J639" i="1" s="1"/>
  <c r="I588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J608" i="1" s="1"/>
  <c r="G609" i="1"/>
  <c r="J609" i="1" s="1"/>
  <c r="G612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G631" i="1"/>
  <c r="G633" i="1"/>
  <c r="J633" i="1" s="1"/>
  <c r="G634" i="1"/>
  <c r="G635" i="1"/>
  <c r="G639" i="1"/>
  <c r="G640" i="1"/>
  <c r="J640" i="1" s="1"/>
  <c r="H640" i="1"/>
  <c r="G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B2" i="13"/>
  <c r="F8" i="13"/>
  <c r="G8" i="13"/>
  <c r="D39" i="13"/>
  <c r="F13" i="13"/>
  <c r="G13" i="13"/>
  <c r="F16" i="13"/>
  <c r="E16" i="13" s="1"/>
  <c r="C16" i="13" s="1"/>
  <c r="G16" i="13"/>
  <c r="F5" i="13"/>
  <c r="G5" i="13"/>
  <c r="G33" i="13" s="1"/>
  <c r="F6" i="13"/>
  <c r="G6" i="13"/>
  <c r="F7" i="13"/>
  <c r="G7" i="13"/>
  <c r="D7" i="13" s="1"/>
  <c r="C7" i="13" s="1"/>
  <c r="F12" i="13"/>
  <c r="G12" i="13"/>
  <c r="D12" i="13"/>
  <c r="F14" i="13"/>
  <c r="G14" i="13"/>
  <c r="F15" i="13"/>
  <c r="G15" i="13"/>
  <c r="F17" i="13"/>
  <c r="G17" i="13"/>
  <c r="D17" i="13" s="1"/>
  <c r="C17" i="13" s="1"/>
  <c r="F18" i="13"/>
  <c r="G18" i="13"/>
  <c r="D18" i="13"/>
  <c r="C18" i="13" s="1"/>
  <c r="F19" i="13"/>
  <c r="G19" i="13"/>
  <c r="D19" i="13" s="1"/>
  <c r="C19" i="13" s="1"/>
  <c r="F29" i="13"/>
  <c r="G29" i="13"/>
  <c r="G31" i="13"/>
  <c r="H25" i="13"/>
  <c r="C25" i="13" s="1"/>
  <c r="H33" i="13"/>
  <c r="F22" i="13"/>
  <c r="C22" i="13"/>
  <c r="C12" i="13"/>
  <c r="C11" i="13"/>
  <c r="C10" i="13"/>
  <c r="C9" i="13"/>
  <c r="C60" i="2"/>
  <c r="G48" i="2"/>
  <c r="G55" i="2" s="1"/>
  <c r="G51" i="2"/>
  <c r="G53" i="2"/>
  <c r="G54" i="2"/>
  <c r="E124" i="2"/>
  <c r="E123" i="2"/>
  <c r="C124" i="2"/>
  <c r="C123" i="2"/>
  <c r="A1" i="2"/>
  <c r="A2" i="2"/>
  <c r="C9" i="2"/>
  <c r="C19" i="2" s="1"/>
  <c r="D9" i="2"/>
  <c r="D19" i="2" s="1"/>
  <c r="E9" i="2"/>
  <c r="F9" i="2"/>
  <c r="G9" i="2"/>
  <c r="C10" i="2"/>
  <c r="D10" i="2"/>
  <c r="E10" i="2"/>
  <c r="F10" i="2"/>
  <c r="C11" i="2"/>
  <c r="C12" i="2"/>
  <c r="D12" i="2"/>
  <c r="E12" i="2"/>
  <c r="E19" i="2" s="1"/>
  <c r="F12" i="2"/>
  <c r="C13" i="2"/>
  <c r="D13" i="2"/>
  <c r="E13" i="2"/>
  <c r="F13" i="2"/>
  <c r="G13" i="2"/>
  <c r="C14" i="2"/>
  <c r="D14" i="2"/>
  <c r="E14" i="2"/>
  <c r="F14" i="2"/>
  <c r="F19" i="2" s="1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G18" i="2"/>
  <c r="C22" i="2"/>
  <c r="C32" i="2" s="1"/>
  <c r="D22" i="2"/>
  <c r="D32" i="2" s="1"/>
  <c r="E22" i="2"/>
  <c r="F22" i="2"/>
  <c r="F32" i="2" s="1"/>
  <c r="C23" i="2"/>
  <c r="D23" i="2"/>
  <c r="E23" i="2"/>
  <c r="F23" i="2"/>
  <c r="C24" i="2"/>
  <c r="D24" i="2"/>
  <c r="E24" i="2"/>
  <c r="F24" i="2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E32" i="2"/>
  <c r="C34" i="2"/>
  <c r="C42" i="2" s="1"/>
  <c r="C43" i="2" s="1"/>
  <c r="D34" i="2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D42" i="2" s="1"/>
  <c r="D43" i="2" s="1"/>
  <c r="E36" i="2"/>
  <c r="F36" i="2"/>
  <c r="C37" i="2"/>
  <c r="D37" i="2"/>
  <c r="E37" i="2"/>
  <c r="F37" i="2"/>
  <c r="G37" i="2"/>
  <c r="C38" i="2"/>
  <c r="D38" i="2"/>
  <c r="E38" i="2"/>
  <c r="F38" i="2"/>
  <c r="C40" i="2"/>
  <c r="D40" i="2"/>
  <c r="E40" i="2"/>
  <c r="F40" i="2"/>
  <c r="C41" i="2"/>
  <c r="D41" i="2"/>
  <c r="E41" i="2"/>
  <c r="F41" i="2"/>
  <c r="C48" i="2"/>
  <c r="C55" i="2" s="1"/>
  <c r="D48" i="2"/>
  <c r="E48" i="2"/>
  <c r="F48" i="2"/>
  <c r="C49" i="2"/>
  <c r="E49" i="2"/>
  <c r="C50" i="2"/>
  <c r="E50" i="2"/>
  <c r="C51" i="2"/>
  <c r="C54" i="2" s="1"/>
  <c r="D51" i="2"/>
  <c r="D54" i="2" s="1"/>
  <c r="D55" i="2" s="1"/>
  <c r="D96" i="2" s="1"/>
  <c r="E51" i="2"/>
  <c r="E54" i="2" s="1"/>
  <c r="E55" i="2" s="1"/>
  <c r="E96" i="2" s="1"/>
  <c r="F51" i="2"/>
  <c r="F54" i="2" s="1"/>
  <c r="D52" i="2"/>
  <c r="C53" i="2"/>
  <c r="D53" i="2"/>
  <c r="E53" i="2"/>
  <c r="F53" i="2"/>
  <c r="C58" i="2"/>
  <c r="C59" i="2"/>
  <c r="C61" i="2"/>
  <c r="C62" i="2" s="1"/>
  <c r="D61" i="2"/>
  <c r="E61" i="2"/>
  <c r="F61" i="2"/>
  <c r="G61" i="2"/>
  <c r="D62" i="2"/>
  <c r="E62" i="2"/>
  <c r="F62" i="2"/>
  <c r="G62" i="2"/>
  <c r="C64" i="2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 s="1"/>
  <c r="D73" i="2" s="1"/>
  <c r="E69" i="2"/>
  <c r="F69" i="2"/>
  <c r="G69" i="2"/>
  <c r="C70" i="2"/>
  <c r="G70" i="2"/>
  <c r="G73" i="2" s="1"/>
  <c r="C71" i="2"/>
  <c r="D71" i="2"/>
  <c r="E71" i="2"/>
  <c r="C72" i="2"/>
  <c r="E72" i="2"/>
  <c r="C77" i="2"/>
  <c r="D77" i="2"/>
  <c r="E77" i="2"/>
  <c r="F77" i="2"/>
  <c r="F83" i="2" s="1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3" i="2" s="1"/>
  <c r="D83" i="2"/>
  <c r="C85" i="2"/>
  <c r="F85" i="2"/>
  <c r="F95" i="2" s="1"/>
  <c r="C86" i="2"/>
  <c r="F86" i="2"/>
  <c r="D88" i="2"/>
  <c r="E88" i="2"/>
  <c r="E95" i="2" s="1"/>
  <c r="F88" i="2"/>
  <c r="G88" i="2"/>
  <c r="C89" i="2"/>
  <c r="D89" i="2"/>
  <c r="D95" i="2" s="1"/>
  <c r="E89" i="2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1" i="2"/>
  <c r="C102" i="2"/>
  <c r="C107" i="2" s="1"/>
  <c r="C103" i="2"/>
  <c r="E103" i="2"/>
  <c r="C104" i="2"/>
  <c r="E104" i="2"/>
  <c r="C105" i="2"/>
  <c r="E105" i="2"/>
  <c r="C106" i="2"/>
  <c r="E106" i="2"/>
  <c r="D107" i="2"/>
  <c r="F107" i="2"/>
  <c r="G107" i="2"/>
  <c r="C110" i="2"/>
  <c r="E110" i="2"/>
  <c r="C111" i="2"/>
  <c r="E111" i="2"/>
  <c r="E112" i="2"/>
  <c r="C113" i="2"/>
  <c r="C114" i="2"/>
  <c r="E114" i="2"/>
  <c r="E115" i="2"/>
  <c r="C116" i="2"/>
  <c r="E116" i="2"/>
  <c r="C117" i="2"/>
  <c r="E117" i="2"/>
  <c r="D119" i="2"/>
  <c r="D120" i="2"/>
  <c r="F120" i="2"/>
  <c r="G120" i="2"/>
  <c r="G137" i="2" s="1"/>
  <c r="C122" i="2"/>
  <c r="E122" i="2"/>
  <c r="D126" i="2"/>
  <c r="D136" i="2" s="1"/>
  <c r="D137" i="2" s="1"/>
  <c r="E126" i="2"/>
  <c r="F126" i="2"/>
  <c r="C127" i="2"/>
  <c r="E127" i="2"/>
  <c r="E136" i="2" s="1"/>
  <c r="C128" i="2"/>
  <c r="C129" i="2"/>
  <c r="E129" i="2"/>
  <c r="C134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B153" i="2"/>
  <c r="G153" i="2" s="1"/>
  <c r="C153" i="2"/>
  <c r="D153" i="2"/>
  <c r="E153" i="2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E156" i="2"/>
  <c r="F156" i="2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B22" i="12"/>
  <c r="C18" i="12"/>
  <c r="A22" i="12" s="1"/>
  <c r="C22" i="12"/>
  <c r="B1" i="12"/>
  <c r="G636" i="1" l="1"/>
  <c r="G621" i="1"/>
  <c r="J621" i="1" s="1"/>
  <c r="C39" i="10"/>
  <c r="J632" i="1"/>
  <c r="J542" i="1"/>
  <c r="C130" i="2"/>
  <c r="C133" i="2" s="1"/>
  <c r="L400" i="1"/>
  <c r="I185" i="1"/>
  <c r="G620" i="1" s="1"/>
  <c r="J620" i="1" s="1"/>
  <c r="G156" i="2"/>
  <c r="G22" i="2"/>
  <c r="G32" i="2" s="1"/>
  <c r="J33" i="1"/>
  <c r="I542" i="1"/>
  <c r="G36" i="2"/>
  <c r="G42" i="2" s="1"/>
  <c r="J43" i="1"/>
  <c r="F55" i="2"/>
  <c r="F96" i="2" s="1"/>
  <c r="J641" i="1"/>
  <c r="J612" i="1"/>
  <c r="K539" i="1"/>
  <c r="C38" i="10"/>
  <c r="J613" i="1"/>
  <c r="G185" i="1"/>
  <c r="G618" i="1" s="1"/>
  <c r="J618" i="1" s="1"/>
  <c r="F185" i="1"/>
  <c r="G617" i="1" s="1"/>
  <c r="J617" i="1" s="1"/>
  <c r="H638" i="1"/>
  <c r="J638" i="1" s="1"/>
  <c r="J263" i="1"/>
  <c r="H185" i="1"/>
  <c r="G619" i="1" s="1"/>
  <c r="J619" i="1" s="1"/>
  <c r="E120" i="2"/>
  <c r="G542" i="1"/>
  <c r="C73" i="2"/>
  <c r="C96" i="2" s="1"/>
  <c r="G96" i="2"/>
  <c r="K541" i="1"/>
  <c r="C36" i="10"/>
  <c r="C41" i="10"/>
  <c r="D35" i="10" s="1"/>
  <c r="F650" i="1"/>
  <c r="I651" i="1"/>
  <c r="H637" i="1"/>
  <c r="J637" i="1" s="1"/>
  <c r="J32" i="1"/>
  <c r="G31" i="2" s="1"/>
  <c r="F542" i="1"/>
  <c r="L343" i="1"/>
  <c r="L320" i="1"/>
  <c r="L330" i="1" s="1"/>
  <c r="L344" i="1" s="1"/>
  <c r="G623" i="1" s="1"/>
  <c r="J623" i="1" s="1"/>
  <c r="C135" i="2"/>
  <c r="F122" i="2"/>
  <c r="F136" i="2" s="1"/>
  <c r="F137" i="2" s="1"/>
  <c r="F31" i="13"/>
  <c r="F33" i="13" s="1"/>
  <c r="L354" i="1"/>
  <c r="L239" i="1"/>
  <c r="L221" i="1"/>
  <c r="G650" i="1" s="1"/>
  <c r="G654" i="1" s="1"/>
  <c r="L519" i="1"/>
  <c r="L535" i="1" s="1"/>
  <c r="H539" i="1"/>
  <c r="H542" i="1" s="1"/>
  <c r="C115" i="2"/>
  <c r="C120" i="2" s="1"/>
  <c r="E102" i="2"/>
  <c r="E107" i="2" s="1"/>
  <c r="C17" i="10"/>
  <c r="D14" i="13"/>
  <c r="C14" i="13" s="1"/>
  <c r="D5" i="13"/>
  <c r="E8" i="13"/>
  <c r="J10" i="1"/>
  <c r="K493" i="1"/>
  <c r="C11" i="10"/>
  <c r="G627" i="1" l="1"/>
  <c r="J627" i="1" s="1"/>
  <c r="H636" i="1"/>
  <c r="J636" i="1" s="1"/>
  <c r="G657" i="1"/>
  <c r="G662" i="1"/>
  <c r="C5" i="10" s="1"/>
  <c r="I650" i="1"/>
  <c r="I654" i="1" s="1"/>
  <c r="F654" i="1"/>
  <c r="H650" i="1"/>
  <c r="H654" i="1" s="1"/>
  <c r="L249" i="1"/>
  <c r="L263" i="1" s="1"/>
  <c r="G622" i="1" s="1"/>
  <c r="J622" i="1" s="1"/>
  <c r="D38" i="10"/>
  <c r="D36" i="10"/>
  <c r="D41" i="10" s="1"/>
  <c r="G10" i="2"/>
  <c r="G19" i="2" s="1"/>
  <c r="J19" i="1"/>
  <c r="G611" i="1" s="1"/>
  <c r="G625" i="1"/>
  <c r="J625" i="1" s="1"/>
  <c r="C27" i="10"/>
  <c r="C28" i="10"/>
  <c r="K542" i="1"/>
  <c r="D37" i="10"/>
  <c r="D40" i="10"/>
  <c r="C5" i="13"/>
  <c r="G616" i="1"/>
  <c r="J616" i="1" s="1"/>
  <c r="J44" i="1"/>
  <c r="H611" i="1" s="1"/>
  <c r="E137" i="2"/>
  <c r="C136" i="2"/>
  <c r="C137" i="2" s="1"/>
  <c r="D39" i="10"/>
  <c r="G43" i="2"/>
  <c r="D31" i="13"/>
  <c r="C31" i="13" s="1"/>
  <c r="E33" i="13"/>
  <c r="D35" i="13" s="1"/>
  <c r="C8" i="13"/>
  <c r="D33" i="13" l="1"/>
  <c r="D36" i="13" s="1"/>
  <c r="H657" i="1"/>
  <c r="H662" i="1"/>
  <c r="C6" i="10" s="1"/>
  <c r="F657" i="1"/>
  <c r="F662" i="1"/>
  <c r="C4" i="10" s="1"/>
  <c r="I657" i="1"/>
  <c r="I662" i="1"/>
  <c r="C7" i="10" s="1"/>
  <c r="D15" i="10"/>
  <c r="C30" i="10"/>
  <c r="D22" i="10"/>
  <c r="D16" i="10"/>
  <c r="D23" i="10"/>
  <c r="D25" i="10"/>
  <c r="D26" i="10"/>
  <c r="D12" i="10"/>
  <c r="D21" i="10"/>
  <c r="D24" i="10"/>
  <c r="D20" i="10"/>
  <c r="D18" i="10"/>
  <c r="D19" i="10"/>
  <c r="D10" i="10"/>
  <c r="D13" i="10"/>
  <c r="J611" i="1"/>
  <c r="H646" i="1"/>
  <c r="D27" i="10"/>
  <c r="D17" i="10"/>
  <c r="D1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E79A372-ED85-4BE5-AC81-68F17C48525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956DE7C-A9AD-4F28-B19F-61521321009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DC6A488-9E81-412B-9023-BEFCA81B627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DA9D526-7979-4DAB-B95A-89F25CD107B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74A819A-6F7A-4F85-9F5D-C637AB16AA8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FF2A09F-9900-430C-91AF-954487A1170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F26912C-FF04-4228-8017-3C15A674467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4223087-2583-4DCD-B315-79AC233CF59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A4DB742-0204-49FE-8CE1-5F8C276429E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27D6EB9-8144-4B9C-AB7D-BEC52AAB6DB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98892D4-9385-4104-82AB-FFD2342133D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0E8535D-B1A2-4C7A-8CE1-25F665A66AE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<sst xmlns="http://schemas.openxmlformats.org/spreadsheetml/2006/main" count="3864" uniqueCount="899">
  <si>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</si>
  <si>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</si>
  <si>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</si>
  <si>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</si>
  <si>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</si>
  <si>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</si>
  <si>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</si>
  <si>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</si>
  <si>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</si>
  <si>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</si>
  <si>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</si>
  <si>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</si>
  <si>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</si>
  <si>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</si>
  <si>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</si>
  <si>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</si>
  <si>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</si>
  <si>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</si>
  <si>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</si>
  <si>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</si>
  <si>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</si>
  <si>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</si>
  <si>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</si>
  <si>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</si>
  <si>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</si>
  <si>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</si>
  <si>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</si>
  <si>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</si>
  <si>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</si>
  <si>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</si>
  <si>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</si>
  <si>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</si>
  <si>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</si>
  <si>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</si>
  <si>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</si>
  <si>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</si>
  <si>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</si>
  <si>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</si>
  <si>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</si>
  <si>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</si>
  <si>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</si>
  <si>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</si>
  <si>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</si>
  <si>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</si>
  <si>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</si>
  <si>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</si>
  <si>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</si>
  <si>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</si>
  <si>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</si>
  <si>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</si>
  <si>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</si>
  <si>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</si>
  <si>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</si>
  <si>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</si>
  <si>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</si>
  <si>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</si>
  <si>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</si>
  <si>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</si>
  <si>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</si>
  <si>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</si>
  <si>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</si>
  <si>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</si>
  <si>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</si>
  <si>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</si>
  <si>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</si>
  <si>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</si>
  <si>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</si>
  <si>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</si>
  <si>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</si>
  <si>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</si>
  <si>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</si>
  <si>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</si>
  <si>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</si>
  <si>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</si>
  <si>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</si>
  <si>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</si>
  <si>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</si>
  <si>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</si>
  <si>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</si>
  <si>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</si>
  <si>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</si>
  <si>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</si>
  <si>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</si>
  <si>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</si>
  <si>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</si>
  <si>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</si>
  <si>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</si>
  <si>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</si>
  <si>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</si>
  <si>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</si>
  <si>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</si>
  <si>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</si>
  <si>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</si>
  <si>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</si>
  <si>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</si>
  <si>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</si>
  <si>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</si>
  <si>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</si>
  <si>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</si>
  <si>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</si>
  <si>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</si>
  <si>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</si>
  <si>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</si>
  <si>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</si>
  <si>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</si>
  <si>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</si>
  <si>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</si>
  <si>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</si>
  <si>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</si>
  <si>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</si>
  <si>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</si>
  <si>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</si>
  <si>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</si>
  <si>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</si>
  <si>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</si>
  <si>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</si>
  <si>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</si>
  <si>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</si>
  <si>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</si>
  <si>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</si>
  <si>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</si>
  <si>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</si>
  <si>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</si>
  <si>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</si>
  <si>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</si>
  <si>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</si>
  <si>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</si>
  <si>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</si>
  <si>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</si>
  <si>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</si>
  <si>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</si>
  <si>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</si>
  <si>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</si>
  <si>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</si>
  <si>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</si>
  <si>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</si>
  <si>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</si>
  <si>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</si>
  <si>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</si>
  <si>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</si>
  <si>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</si>
  <si>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</si>
  <si>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</si>
  <si>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</si>
  <si>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</si>
  <si>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</si>
  <si>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</si>
  <si>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</si>
  <si>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</si>
  <si>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</si>
  <si>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</si>
  <si>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</si>
  <si>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</si>
  <si>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</si>
  <si>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</si>
  <si>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</si>
  <si>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</si>
  <si>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</si>
  <si>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</si>
  <si>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</si>
  <si>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</si>
  <si>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</si>
  <si>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</si>
  <si>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</si>
  <si>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</si>
  <si>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</si>
  <si>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</si>
  <si>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</si>
  <si>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</si>
  <si>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</si>
  <si>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</si>
  <si>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</si>
  <si>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</si>
  <si>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</si>
  <si>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</si>
  <si>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</si>
  <si>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</si>
  <si>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</si>
  <si>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</si>
  <si>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</si>
  <si>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</si>
  <si>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</si>
  <si>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</si>
  <si>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</si>
  <si>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</si>
  <si>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</si>
  <si>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</si>
  <si>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</si>
  <si>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</si>
  <si>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</si>
  <si>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</si>
  <si>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</si>
  <si>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</si>
  <si>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</si>
  <si>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</si>
  <si>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</si>
  <si>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</si>
  <si>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</si>
  <si>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</si>
  <si>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</si>
  <si>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</si>
  <si>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</si>
  <si>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</si>
  <si>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</si>
  <si>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</si>
  <si>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</si>
  <si>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</si>
  <si>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</si>
  <si>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</si>
  <si>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</si>
  <si>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</si>
  <si>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</si>
  <si>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</si>
  <si>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</si>
  <si>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</si>
  <si>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</si>
  <si>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</si>
  <si>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</si>
  <si>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</si>
  <si>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</si>
  <si>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</si>
  <si>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</si>
  <si>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</si>
  <si>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</si>
  <si>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</si>
  <si>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</si>
  <si>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</si>
  <si>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</si>
  <si>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</si>
  <si>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</si>
  <si>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</si>
  <si>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</si>
  <si>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</si>
  <si>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</si>
  <si>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</si>
  <si>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</si>
  <si>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</si>
  <si>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</si>
  <si>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</si>
  <si>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</si>
  <si>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</si>
  <si>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</si>
  <si>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</si>
  <si>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</si>
  <si>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</si>
  <si>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</si>
  <si>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</si>
  <si>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</si>
  <si>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</si>
  <si>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</si>
  <si>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</si>
  <si>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</si>
  <si>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</si>
  <si>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</si>
  <si>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</si>
  <si>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</si>
  <si>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</si>
  <si>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</si>
  <si>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</si>
  <si>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</si>
  <si>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</si>
  <si>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</si>
  <si>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</si>
  <si>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</si>
  <si>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</si>
  <si>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</si>
  <si>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</si>
  <si>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</si>
  <si>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</si>
  <si>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</si>
  <si>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</si>
  <si>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</si>
  <si>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</si>
  <si>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</si>
  <si>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</si>
  <si>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</si>
  <si>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</si>
  <si>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</si>
  <si>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</si>
  <si>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</si>
  <si>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</si>
  <si>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</si>
  <si>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</si>
  <si>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</si>
  <si>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</si>
  <si>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</si>
  <si>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</si>
  <si>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</si>
  <si>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</si>
  <si>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</si>
  <si>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</si>
  <si>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</si>
  <si>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</si>
  <si>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</si>
  <si>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</si>
  <si>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</si>
  <si>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</si>
  <si>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</si>
  <si>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</si>
  <si>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</si>
  <si>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</si>
  <si>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</si>
  <si>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</si>
  <si>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</si>
  <si>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</si>
  <si>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</si>
  <si>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</si>
  <si>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</si>
  <si>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</si>
  <si>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</si>
  <si>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</si>
  <si>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</si>
  <si>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</si>
  <si>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</si>
  <si>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</si>
  <si>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</si>
  <si>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</si>
  <si>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</si>
  <si>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</si>
  <si>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</si>
  <si>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</si>
  <si>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</si>
  <si>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</si>
  <si>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</si>
  <si>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</si>
  <si>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</si>
  <si>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</si>
  <si>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</si>
  <si>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</si>
  <si>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</si>
  <si>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</si>
  <si>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</si>
  <si>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</si>
  <si>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</si>
  <si>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</si>
  <si>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</si>
  <si>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</si>
  <si>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</si>
  <si>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</si>
  <si>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</si>
  <si>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</si>
  <si>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</si>
  <si>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</si>
  <si>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</si>
  <si>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</si>
  <si>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</si>
  <si>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</si>
  <si>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</si>
  <si>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</si>
  <si>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</si>
  <si>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</si>
  <si>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</si>
  <si>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</si>
  <si>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</si>
  <si>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</si>
  <si>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</si>
  <si>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</si>
  <si>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</si>
  <si>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</si>
  <si>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</si>
  <si>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</si>
  <si>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</si>
  <si>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</si>
  <si>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</si>
  <si>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</si>
  <si>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</si>
  <si>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</si>
  <si>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</si>
  <si>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</si>
  <si>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</si>
  <si>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</si>
  <si>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</si>
  <si>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</si>
  <si>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</si>
  <si>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</si>
  <si>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</si>
  <si>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</si>
  <si>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</si>
  <si>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</si>
  <si>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</si>
  <si>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</si>
  <si>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</si>
  <si>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</si>
  <si>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</si>
  <si>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</si>
  <si>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</si>
  <si>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</si>
  <si>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</si>
  <si>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</si>
  <si>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</si>
  <si>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</si>
  <si>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</si>
  <si>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</si>
  <si>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</si>
  <si>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</si>
  <si>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</si>
  <si>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</si>
  <si>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</si>
  <si>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</si>
  <si>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</si>
  <si>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</si>
  <si>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</si>
  <si>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</si>
  <si>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</si>
  <si>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</si>
  <si>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</si>
  <si>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</si>
  <si>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</si>
  <si>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</si>
  <si>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</si>
  <si>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</si>
  <si>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</si>
  <si>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</si>
  <si>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</si>
  <si>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</si>
  <si>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</si>
  <si>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</si>
  <si>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</si>
  <si>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</si>
  <si>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</si>
  <si>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</si>
  <si>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</si>
  <si>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</si>
  <si>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</si>
  <si>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</si>
  <si>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</si>
  <si>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</si>
  <si>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</si>
  <si>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</si>
  <si>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</si>
  <si>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</si>
  <si>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</si>
  <si>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</si>
  <si>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</si>
  <si>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</si>
  <si>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</si>
  <si>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</si>
  <si>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</si>
  <si>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</si>
  <si>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</si>
  <si>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</si>
  <si>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</si>
  <si>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</si>
  <si>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</si>
  <si>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</si>
  <si>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</si>
  <si>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</si>
  <si>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</si>
  <si>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</si>
  <si>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</si>
  <si>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</si>
  <si>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</si>
  <si>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</si>
  <si>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</si>
  <si>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</si>
  <si>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</si>
  <si>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</si>
  <si>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</si>
  <si>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</si>
  <si>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</si>
  <si>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</si>
  <si>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</si>
  <si>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</si>
  <si>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</si>
  <si>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</si>
  <si>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</si>
  <si>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</si>
  <si>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</si>
  <si>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</si>
  <si>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</si>
  <si>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</si>
  <si>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</si>
  <si>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</si>
  <si>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</si>
  <si>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</si>
  <si>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</si>
  <si>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</si>
  <si>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</si>
  <si>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</si>
  <si>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</si>
  <si>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</si>
  <si>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</si>
  <si>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</si>
  <si>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</si>
  <si>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</si>
  <si>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</si>
  <si>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</si>
  <si>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</si>
  <si>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</si>
  <si>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</si>
  <si>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</si>
  <si>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</si>
  <si>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</si>
  <si>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</si>
  <si>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</si>
  <si>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</si>
  <si>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</si>
  <si>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</si>
  <si>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</si>
  <si>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</si>
  <si>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</si>
  <si>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</si>
  <si>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</si>
  <si>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</si>
  <si>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</si>
  <si>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</si>
  <si>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</si>
  <si>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</si>
  <si>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</si>
  <si>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</si>
  <si>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</si>
  <si>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</si>
  <si>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</si>
  <si>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</si>
  <si>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</si>
  <si>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</si>
  <si>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</si>
  <si>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</si>
  <si>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</si>
  <si>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</si>
  <si>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</si>
  <si>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</si>
  <si>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</si>
  <si>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</si>
  <si>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</si>
  <si>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</si>
  <si>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</si>
  <si>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</si>
  <si>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</si>
  <si>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</si>
  <si>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</si>
  <si>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</si>
  <si>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</si>
  <si>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</si>
  <si>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</si>
  <si>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</si>
  <si>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</si>
  <si>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</si>
  <si>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</si>
  <si>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</si>
  <si>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</si>
  <si>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</si>
  <si>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</si>
  <si>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</si>
  <si>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</si>
  <si>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</si>
  <si>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</si>
  <si>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</si>
  <si>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</si>
  <si>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</si>
  <si>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</si>
  <si>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</si>
  <si>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</si>
  <si>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</si>
  <si>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</si>
  <si>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</si>
  <si>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</si>
  <si>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</si>
  <si>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</si>
  <si>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</si>
  <si>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</si>
  <si>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</si>
  <si>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</si>
  <si>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</si>
  <si>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</si>
  <si>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</si>
  <si>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</si>
  <si>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</si>
  <si>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</si>
  <si>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</si>
  <si>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</si>
  <si>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</si>
  <si>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</si>
  <si>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</si>
  <si>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</si>
  <si>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</si>
  <si>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</si>
  <si>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</si>
  <si>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</si>
  <si>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</si>
  <si>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</si>
  <si>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</si>
  <si>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</si>
  <si>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</si>
  <si>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</si>
  <si>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</si>
  <si>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</si>
  <si>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</si>
  <si>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</si>
  <si>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</si>
  <si>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</si>
  <si>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</si>
  <si>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</si>
  <si>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</si>
  <si>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</si>
  <si>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</si>
  <si>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</si>
  <si>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</si>
  <si>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</si>
  <si>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</si>
  <si>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</si>
  <si>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</si>
  <si>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</si>
  <si>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</si>
  <si>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</si>
  <si>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</si>
  <si>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</si>
  <si>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</si>
  <si>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</si>
  <si>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</si>
  <si>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</si>
  <si>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</si>
  <si>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</si>
  <si>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</si>
  <si>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</si>
  <si>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</si>
  <si>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</si>
  <si>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</si>
  <si>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</si>
  <si>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</si>
  <si>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</si>
  <si>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</si>
  <si>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</si>
  <si>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</si>
  <si>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</si>
  <si>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</si>
  <si>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</si>
  <si>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</si>
  <si>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</si>
  <si>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</si>
  <si>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</si>
  <si>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</si>
  <si>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</si>
  <si>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</si>
  <si>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</si>
  <si>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</si>
  <si>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</si>
  <si>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</si>
  <si>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</si>
  <si>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</si>
  <si>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</si>
  <si>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</si>
  <si>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</si>
  <si>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</si>
  <si>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</si>
  <si>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</si>
  <si>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</si>
  <si>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</si>
  <si>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</si>
  <si>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</si>
  <si>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</si>
  <si>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</si>
  <si>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</si>
  <si>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</si>
  <si>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</si>
  <si>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</si>
  <si>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</si>
  <si>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</si>
  <si>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</si>
  <si>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</si>
  <si>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</si>
  <si>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</si>
  <si>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</si>
  <si>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</si>
  <si>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</si>
  <si>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</si>
  <si>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</si>
  <si>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</si>
  <si>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</si>
  <si>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</si>
  <si>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</si>
  <si>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</si>
  <si>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</si>
  <si>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</si>
  <si>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</si>
  <si>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</si>
  <si>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</si>
  <si>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</si>
  <si>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</si>
  <si>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</si>
  <si>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</si>
  <si>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</si>
  <si>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</si>
  <si>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</si>
  <si>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</si>
  <si>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</si>
  <si>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</si>
  <si>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</si>
  <si>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</si>
  <si>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</si>
  <si>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</si>
  <si>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</si>
  <si>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</si>
  <si>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</si>
  <si>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</si>
  <si>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</si>
  <si>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</si>
  <si>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</si>
  <si>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</si>
  <si>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</si>
  <si>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</si>
  <si>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</si>
  <si>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</si>
  <si>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</si>
  <si>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</si>
  <si>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</si>
  <si>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</si>
  <si>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</si>
  <si>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</si>
  <si>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</si>
  <si>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</si>
  <si>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</si>
  <si>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</si>
  <si>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</si>
  <si>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</si>
  <si>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</si>
  <si>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</si>
  <si>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</si>
  <si>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</si>
  <si>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</si>
  <si>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</si>
  <si>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</si>
  <si>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</si>
  <si>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</si>
  <si>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</si>
  <si>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</si>
  <si>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</si>
  <si>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</si>
  <si>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</si>
  <si>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</si>
  <si>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</si>
  <si>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</si>
  <si>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</si>
  <si>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</si>
  <si>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</si>
  <si>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</si>
  <si>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</si>
  <si>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</si>
  <si>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</si>
  <si>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</si>
  <si>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</si>
  <si>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</si>
  <si>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</si>
  <si>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</si>
  <si>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</si>
  <si>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</si>
  <si>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</si>
  <si>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</si>
  <si>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</si>
  <si>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</si>
  <si>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</si>
  <si>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</si>
  <si>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</si>
  <si>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</si>
  <si>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</si>
  <si>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</si>
  <si>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</si>
  <si>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</si>
  <si>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</si>
  <si>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</si>
  <si>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</si>
  <si>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</si>
  <si>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</si>
  <si>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</si>
  <si>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</si>
  <si>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</si>
  <si>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</si>
  <si>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</si>
  <si>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</si>
  <si>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</si>
  <si>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</si>
  <si>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</si>
  <si>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</si>
  <si>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</si>
  <si>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</si>
  <si>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</si>
  <si>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</si>
  <si>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</si>
  <si>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</si>
  <si>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</si>
  <si>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</si>
  <si>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</si>
  <si>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</si>
  <si>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</si>
  <si>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</si>
  <si>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</si>
  <si>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</si>
  <si>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</si>
  <si>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</si>
  <si>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</si>
  <si>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</si>
  <si>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</si>
  <si>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</si>
  <si>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</si>
  <si>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</si>
  <si>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</si>
  <si>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</si>
  <si>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</si>
  <si>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</si>
  <si>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</si>
  <si>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</si>
  <si>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</si>
  <si>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</si>
  <si>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</si>
  <si>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</si>
  <si>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</si>
  <si>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</si>
  <si>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</si>
  <si>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</si>
  <si>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</si>
  <si>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</si>
  <si>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</si>
  <si>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</si>
  <si>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</si>
  <si>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</si>
  <si>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</si>
  <si>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</si>
  <si>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</si>
  <si>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</si>
  <si>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</si>
  <si>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</si>
  <si>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</si>
  <si>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</si>
  <si>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</si>
  <si>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</si>
  <si>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</si>
  <si>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</si>
  <si>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</si>
  <si>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</si>
  <si>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</si>
  <si>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</si>
  <si>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</si>
  <si>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</si>
  <si>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</si>
  <si>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</si>
  <si>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</si>
  <si>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</si>
  <si>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</si>
  <si>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</si>
  <si>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</si>
  <si>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</si>
  <si>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</si>
  <si>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</si>
  <si>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</si>
  <si>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</si>
  <si>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</si>
  <si>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</si>
  <si>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</si>
  <si>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</si>
  <si>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</si>
  <si>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</si>
  <si>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</si>
  <si>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</si>
  <si>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</si>
  <si>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</si>
  <si>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</si>
  <si>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</si>
  <si>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</si>
  <si>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</si>
  <si>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</si>
  <si>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</si>
  <si>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</si>
  <si>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</si>
  <si>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</si>
  <si>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</si>
  <si>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</si>
  <si>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</si>
  <si>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</si>
  <si>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</si>
  <si>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</si>
  <si>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</si>
  <si>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</si>
  <si>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</si>
  <si>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</si>
  <si>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</si>
  <si>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</si>
  <si>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</si>
  <si>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</si>
  <si>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</si>
  <si>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</si>
  <si>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</si>
  <si>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</si>
  <si>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</si>
  <si>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</si>
  <si>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</si>
  <si>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</si>
  <si>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</si>
  <si>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</si>
  <si>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</si>
  <si>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</si>
  <si>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</si>
  <si>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</si>
  <si>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</si>
  <si>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</si>
  <si>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School Trust Funds</t>
  </si>
  <si>
    <t>Scholarship Trust Funds</t>
  </si>
  <si>
    <t>Fd Svc.- Audit Adj. Entry</t>
  </si>
  <si>
    <t>Portsmouth Sd</t>
  </si>
  <si>
    <t>Revenue fromparents of preschool aged children as part of the Voc Center Early Childhood Ed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</si>
</sst>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509A-58DC-43A7-A532-7354C0BA3FA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449</v>
      </c>
      <c r="C2" s="21">
        <v>449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>
        <v>1584</v>
      </c>
      <c r="H9" s="18"/>
      <c r="I9" s="18"/>
      <c r="J9" s="67">
        <f>SUM(I431)</f>
        <v>5206.0600000000004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4794586.43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22847.84</v>
      </c>
      <c r="H13" s="18">
        <v>1062360.57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21286.67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45718.509999999995</v>
      </c>
      <c r="H19" s="41">
        <f>SUM(H9:H18)</f>
        <v>1062360.57</v>
      </c>
      <c r="I19" s="41">
        <f>SUM(I9:I18)</f>
        <v>0</v>
      </c>
      <c r="J19" s="41">
        <f>SUM(J9:J18)</f>
        <v>4799792.4899999993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316743.71999999997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2730.59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22572.59</v>
      </c>
      <c r="H31" s="18">
        <v>162365.47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7379.68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29952.27</v>
      </c>
      <c r="H33" s="41">
        <f>SUM(H23:H32)</f>
        <v>481839.78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4799792.49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15766.24</v>
      </c>
      <c r="H41" s="18">
        <v>580520.79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15766.24</v>
      </c>
      <c r="H43" s="41">
        <f>SUM(H35:H42)</f>
        <v>580520.79</v>
      </c>
      <c r="I43" s="41">
        <f>SUM(I35:I42)</f>
        <v>0</v>
      </c>
      <c r="J43" s="41">
        <f>SUM(J35:J42)</f>
        <v>4799792.49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45718.51</v>
      </c>
      <c r="H44" s="41">
        <f>H43+H33</f>
        <v>1062360.57</v>
      </c>
      <c r="I44" s="41">
        <f>I43+I33</f>
        <v>0</v>
      </c>
      <c r="J44" s="41">
        <f>J43+J33</f>
        <v>4799792.49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20548995.879999999</v>
      </c>
      <c r="G49" s="18"/>
      <c r="H49" s="18">
        <v>579592.98</v>
      </c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20548995.879999999</v>
      </c>
      <c r="G52" s="41">
        <f>SUM(G49:G51)</f>
        <v>0</v>
      </c>
      <c r="H52" s="41">
        <f>SUM(H49:H51)</f>
        <v>579592.98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729.58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14949.79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33478.61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5412029.0099999998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>
        <v>902701.62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>
        <v>172960.07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>
        <v>1232.81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24905.31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5412758.5899999999</v>
      </c>
      <c r="G71" s="45" t="s">
        <v>312</v>
      </c>
      <c r="H71" s="41">
        <f>SUM(H55:H70)</f>
        <v>1150228.2100000002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>
        <v>63.83</v>
      </c>
      <c r="H88" s="18"/>
      <c r="I88" s="18"/>
      <c r="J88" s="18">
        <v>217176.42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478570.23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10279.85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13300.06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208114.49</v>
      </c>
      <c r="I94" s="18"/>
      <c r="J94" s="18">
        <v>43146.06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>
        <v>1181.4000000000001</v>
      </c>
      <c r="H102" s="18">
        <v>111207.3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13300.06</v>
      </c>
      <c r="G103" s="41">
        <f>SUM(G88:G102)</f>
        <v>479815.46</v>
      </c>
      <c r="H103" s="41">
        <f>SUM(H88:H102)</f>
        <v>329601.64</v>
      </c>
      <c r="I103" s="41">
        <f>SUM(I88:I102)</f>
        <v>0</v>
      </c>
      <c r="J103" s="41">
        <f>SUM(J88:J102)</f>
        <v>260322.48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25975054.529999997</v>
      </c>
      <c r="G104" s="41">
        <f>G52+G103</f>
        <v>479815.46</v>
      </c>
      <c r="H104" s="41">
        <f>H52+H71+H86+H103</f>
        <v>2059422.83</v>
      </c>
      <c r="I104" s="41">
        <f>I52+I103</f>
        <v>0</v>
      </c>
      <c r="J104" s="41">
        <f>J52+J103</f>
        <v>260322.48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160884.85999999999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8447047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61726.14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8669658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1016222.4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179592.98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7872.3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14850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1195815.3800000001</v>
      </c>
      <c r="G128" s="41">
        <f>SUM(G115:G127)</f>
        <v>7872.3</v>
      </c>
      <c r="H128" s="41">
        <f>SUM(H115:H127)</f>
        <v>14850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9865473.3800000008</v>
      </c>
      <c r="G132" s="41">
        <f>G113+SUM(G128:G129)</f>
        <v>7872.3</v>
      </c>
      <c r="H132" s="41">
        <f>H113+SUM(H128:H131)</f>
        <v>14850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816357.26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340570.36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89500.36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336032.3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902332.13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>
        <v>442411.4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29293.21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336032.3</v>
      </c>
      <c r="H154" s="41">
        <f>SUM(H142:H153)</f>
        <v>2620464.7200000002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1352.14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1352.14</v>
      </c>
      <c r="G161" s="41">
        <f>G139+G154+SUM(G155:G160)</f>
        <v>336032.3</v>
      </c>
      <c r="H161" s="41">
        <f>H139+H154+SUM(H155:H160)</f>
        <v>2620464.7200000002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35841880.049999997</v>
      </c>
      <c r="G185" s="47">
        <f>G104+G132+G161+G184</f>
        <v>823720.06</v>
      </c>
      <c r="H185" s="47">
        <f>H104+H132+H161+H184</f>
        <v>4694737.5500000007</v>
      </c>
      <c r="I185" s="47">
        <f>I104+I132+I161+I184</f>
        <v>0</v>
      </c>
      <c r="J185" s="47">
        <f>J104+J132+J184</f>
        <v>260322.48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4373050.33</v>
      </c>
      <c r="G189" s="18">
        <v>2086595.63</v>
      </c>
      <c r="H189" s="18">
        <v>9300</v>
      </c>
      <c r="I189" s="18">
        <v>162548.37</v>
      </c>
      <c r="J189" s="18">
        <v>12755.5</v>
      </c>
      <c r="K189" s="18">
        <v>0</v>
      </c>
      <c r="L189" s="19">
        <f>SUM(F189:K189)</f>
        <v>6644249.8300000001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1375691.98</v>
      </c>
      <c r="G190" s="18">
        <v>652723.63</v>
      </c>
      <c r="H190" s="18">
        <v>78062.05</v>
      </c>
      <c r="I190" s="18">
        <v>2713.52</v>
      </c>
      <c r="J190" s="18">
        <v>0</v>
      </c>
      <c r="K190" s="18">
        <v>676</v>
      </c>
      <c r="L190" s="19">
        <f>SUM(F190:K190)</f>
        <v>2109867.1799999997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43850</v>
      </c>
      <c r="G192" s="18">
        <v>5984.04</v>
      </c>
      <c r="H192" s="18">
        <v>2501.2800000000002</v>
      </c>
      <c r="I192" s="18">
        <v>0</v>
      </c>
      <c r="J192" s="18">
        <v>0</v>
      </c>
      <c r="K192" s="18">
        <v>0</v>
      </c>
      <c r="L192" s="19">
        <f>SUM(F192:K192)</f>
        <v>52335.32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1215202.06</v>
      </c>
      <c r="G194" s="18">
        <v>572284.85</v>
      </c>
      <c r="H194" s="18">
        <v>61787.46</v>
      </c>
      <c r="I194" s="18">
        <v>16953.07</v>
      </c>
      <c r="J194" s="18">
        <v>0</v>
      </c>
      <c r="K194" s="18">
        <v>3402</v>
      </c>
      <c r="L194" s="19">
        <f t="shared" ref="L194:L200" si="0">SUM(F194:K194)</f>
        <v>1869629.4400000002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141017.42000000001</v>
      </c>
      <c r="G195" s="18">
        <v>68722.23</v>
      </c>
      <c r="H195" s="18">
        <v>7260.8</v>
      </c>
      <c r="I195" s="18">
        <v>34815.99</v>
      </c>
      <c r="J195" s="18">
        <v>35079.760000000002</v>
      </c>
      <c r="K195" s="18">
        <v>18.489999999999998</v>
      </c>
      <c r="L195" s="19">
        <f t="shared" si="0"/>
        <v>286914.69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237354.9</v>
      </c>
      <c r="G196" s="18">
        <v>120538.31</v>
      </c>
      <c r="H196" s="18">
        <v>27859.09</v>
      </c>
      <c r="I196" s="18">
        <v>2942.84</v>
      </c>
      <c r="J196" s="18">
        <v>0</v>
      </c>
      <c r="K196" s="18">
        <v>8131.07</v>
      </c>
      <c r="L196" s="19">
        <f t="shared" si="0"/>
        <v>396826.21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384787.51</v>
      </c>
      <c r="G197" s="18">
        <v>188145.16</v>
      </c>
      <c r="H197" s="18">
        <v>2550.7399999999998</v>
      </c>
      <c r="I197" s="18">
        <v>2173.08</v>
      </c>
      <c r="J197" s="18">
        <v>0</v>
      </c>
      <c r="K197" s="18">
        <v>0</v>
      </c>
      <c r="L197" s="19">
        <f t="shared" si="0"/>
        <v>577656.49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103655.19</v>
      </c>
      <c r="G198" s="18">
        <v>51986.98</v>
      </c>
      <c r="H198" s="18">
        <v>63298.720000000001</v>
      </c>
      <c r="I198" s="18">
        <v>2818.45</v>
      </c>
      <c r="J198" s="18">
        <v>836.8</v>
      </c>
      <c r="K198" s="18">
        <v>245.36</v>
      </c>
      <c r="L198" s="19">
        <f t="shared" si="0"/>
        <v>222841.5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424751.27</v>
      </c>
      <c r="G199" s="18">
        <v>212522.27</v>
      </c>
      <c r="H199" s="18">
        <v>248856.36</v>
      </c>
      <c r="I199" s="18">
        <v>242539.93</v>
      </c>
      <c r="J199" s="18">
        <v>62219.6</v>
      </c>
      <c r="K199" s="18">
        <v>0</v>
      </c>
      <c r="L199" s="19">
        <f t="shared" si="0"/>
        <v>1190889.4300000002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251273.8</v>
      </c>
      <c r="I200" s="18"/>
      <c r="J200" s="18"/>
      <c r="K200" s="18"/>
      <c r="L200" s="19">
        <f t="shared" si="0"/>
        <v>251273.8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136795.06</v>
      </c>
      <c r="G201" s="18">
        <v>68169.31</v>
      </c>
      <c r="H201" s="18">
        <v>13833.61</v>
      </c>
      <c r="I201" s="18">
        <v>10702.62</v>
      </c>
      <c r="J201" s="18">
        <v>59421.15</v>
      </c>
      <c r="K201" s="18">
        <v>769.83</v>
      </c>
      <c r="L201" s="19">
        <f>SUM(F201:K201)</f>
        <v>289691.58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8436155.7200000025</v>
      </c>
      <c r="G203" s="41">
        <f t="shared" si="1"/>
        <v>4027672.41</v>
      </c>
      <c r="H203" s="41">
        <f t="shared" si="1"/>
        <v>766583.91</v>
      </c>
      <c r="I203" s="41">
        <f t="shared" si="1"/>
        <v>478207.87</v>
      </c>
      <c r="J203" s="41">
        <f t="shared" si="1"/>
        <v>170312.81</v>
      </c>
      <c r="K203" s="41">
        <f t="shared" si="1"/>
        <v>13242.75</v>
      </c>
      <c r="L203" s="41">
        <f t="shared" si="1"/>
        <v>13892175.470000001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2164884.35</v>
      </c>
      <c r="G207" s="18">
        <v>1064132.18</v>
      </c>
      <c r="H207" s="18">
        <v>500</v>
      </c>
      <c r="I207" s="18">
        <v>65137.42</v>
      </c>
      <c r="J207" s="18">
        <v>3431.71</v>
      </c>
      <c r="K207" s="18">
        <v>0</v>
      </c>
      <c r="L207" s="19">
        <f>SUM(F207:K207)</f>
        <v>3298085.66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554848.87</v>
      </c>
      <c r="G208" s="18">
        <v>262732.83</v>
      </c>
      <c r="H208" s="18">
        <v>76061.13</v>
      </c>
      <c r="I208" s="18">
        <v>703.04</v>
      </c>
      <c r="J208" s="18">
        <v>1624.59</v>
      </c>
      <c r="K208" s="18">
        <v>0</v>
      </c>
      <c r="L208" s="19">
        <f>SUM(F208:K208)</f>
        <v>895970.46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246402.88</v>
      </c>
      <c r="G209" s="18">
        <v>119434.84</v>
      </c>
      <c r="H209" s="18">
        <v>1480.39</v>
      </c>
      <c r="I209" s="18">
        <v>0</v>
      </c>
      <c r="J209" s="18">
        <v>0</v>
      </c>
      <c r="K209" s="18">
        <v>0</v>
      </c>
      <c r="L209" s="19">
        <f>SUM(F209:K209)</f>
        <v>367318.11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62541</v>
      </c>
      <c r="G210" s="18">
        <v>6624.91</v>
      </c>
      <c r="H210" s="18">
        <v>8887.5</v>
      </c>
      <c r="I210" s="18">
        <v>10188.25</v>
      </c>
      <c r="J210" s="18">
        <v>0</v>
      </c>
      <c r="K210" s="18">
        <v>0</v>
      </c>
      <c r="L210" s="19">
        <f>SUM(F210:K210)</f>
        <v>88241.66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381754.69</v>
      </c>
      <c r="G212" s="18">
        <v>185638.92</v>
      </c>
      <c r="H212" s="18">
        <v>67181.429999999993</v>
      </c>
      <c r="I212" s="18">
        <v>3188.63</v>
      </c>
      <c r="J212" s="18">
        <v>0</v>
      </c>
      <c r="K212" s="18">
        <v>0</v>
      </c>
      <c r="L212" s="19">
        <f t="shared" ref="L212:L218" si="2">SUM(F212:K212)</f>
        <v>637763.67000000004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61248.160000000003</v>
      </c>
      <c r="G213" s="18">
        <v>28103.06</v>
      </c>
      <c r="H213" s="18">
        <v>2963.14</v>
      </c>
      <c r="I213" s="18">
        <v>17318.59</v>
      </c>
      <c r="J213" s="18">
        <v>22374.49</v>
      </c>
      <c r="K213" s="18">
        <v>9.8800000000000008</v>
      </c>
      <c r="L213" s="19">
        <f t="shared" si="2"/>
        <v>132017.32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126832.32000000001</v>
      </c>
      <c r="G214" s="18">
        <v>64410.67</v>
      </c>
      <c r="H214" s="18">
        <v>14856.48</v>
      </c>
      <c r="I214" s="18">
        <v>1573.29</v>
      </c>
      <c r="J214" s="18">
        <v>0</v>
      </c>
      <c r="K214" s="18">
        <v>4522.01</v>
      </c>
      <c r="L214" s="19">
        <f t="shared" si="2"/>
        <v>212194.77000000002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253257.72</v>
      </c>
      <c r="G215" s="18">
        <v>124123.07</v>
      </c>
      <c r="H215" s="18">
        <v>4663.82</v>
      </c>
      <c r="I215" s="18">
        <v>1924.48</v>
      </c>
      <c r="J215" s="18">
        <v>0</v>
      </c>
      <c r="K215" s="18">
        <v>464</v>
      </c>
      <c r="L215" s="19">
        <f t="shared" si="2"/>
        <v>384433.09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55415.88</v>
      </c>
      <c r="G216" s="18">
        <v>27793.14</v>
      </c>
      <c r="H216" s="18">
        <v>29654.11</v>
      </c>
      <c r="I216" s="18">
        <v>1506.79</v>
      </c>
      <c r="J216" s="18">
        <v>447.37</v>
      </c>
      <c r="K216" s="18">
        <v>131.16999999999999</v>
      </c>
      <c r="L216" s="19">
        <f t="shared" si="2"/>
        <v>114948.45999999998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181831.38</v>
      </c>
      <c r="G217" s="18">
        <v>91237.59</v>
      </c>
      <c r="H217" s="18">
        <v>91674.64</v>
      </c>
      <c r="I217" s="18">
        <v>150180.19</v>
      </c>
      <c r="J217" s="18">
        <v>3845.29</v>
      </c>
      <c r="K217" s="18">
        <v>0</v>
      </c>
      <c r="L217" s="19">
        <f t="shared" si="2"/>
        <v>518769.08999999997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159412.69</v>
      </c>
      <c r="I218" s="18"/>
      <c r="J218" s="18"/>
      <c r="K218" s="18"/>
      <c r="L218" s="19">
        <f t="shared" si="2"/>
        <v>159412.69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73133.03</v>
      </c>
      <c r="G219" s="18">
        <v>36444.51</v>
      </c>
      <c r="H219" s="18">
        <v>7395.69</v>
      </c>
      <c r="I219" s="18">
        <v>5721.81</v>
      </c>
      <c r="J219" s="18">
        <v>26024.39</v>
      </c>
      <c r="K219" s="18">
        <v>411.56</v>
      </c>
      <c r="L219" s="19">
        <f>SUM(F219:K219)</f>
        <v>149130.99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4162150.28</v>
      </c>
      <c r="G221" s="41">
        <f>SUM(G207:G220)</f>
        <v>2010675.72</v>
      </c>
      <c r="H221" s="41">
        <f>SUM(H207:H220)</f>
        <v>464731.02000000008</v>
      </c>
      <c r="I221" s="41">
        <f>SUM(I207:I220)</f>
        <v>257442.49</v>
      </c>
      <c r="J221" s="41">
        <f>SUM(J207:J220)</f>
        <v>57747.839999999997</v>
      </c>
      <c r="K221" s="41">
        <f t="shared" si="3"/>
        <v>5538.6200000000008</v>
      </c>
      <c r="L221" s="41">
        <f t="shared" si="3"/>
        <v>6958285.9700000007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4061039.73</v>
      </c>
      <c r="G225" s="18">
        <v>2019698.21</v>
      </c>
      <c r="H225" s="18">
        <v>45933.4</v>
      </c>
      <c r="I225" s="18">
        <v>123150.85</v>
      </c>
      <c r="J225" s="18">
        <v>7211.66</v>
      </c>
      <c r="K225" s="18">
        <v>2714</v>
      </c>
      <c r="L225" s="19">
        <f>SUM(F225:K225)</f>
        <v>6259747.8499999996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663932.6</v>
      </c>
      <c r="G226" s="18">
        <v>321058.38</v>
      </c>
      <c r="H226" s="18">
        <v>1065226.06</v>
      </c>
      <c r="I226" s="18">
        <v>1868.84</v>
      </c>
      <c r="J226" s="18">
        <v>55.98</v>
      </c>
      <c r="K226" s="18">
        <v>0</v>
      </c>
      <c r="L226" s="19">
        <f>SUM(F226:K226)</f>
        <v>2052141.86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453027</v>
      </c>
      <c r="G227" s="18">
        <v>213567.17</v>
      </c>
      <c r="H227" s="18">
        <v>10748.19</v>
      </c>
      <c r="I227" s="18">
        <v>27655.59</v>
      </c>
      <c r="J227" s="18">
        <v>15221.01</v>
      </c>
      <c r="K227" s="18">
        <v>60</v>
      </c>
      <c r="L227" s="19">
        <f>SUM(F227:K227)</f>
        <v>720278.96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249777.42</v>
      </c>
      <c r="G228" s="18">
        <v>52085.87</v>
      </c>
      <c r="H228" s="18">
        <v>76943.929999999993</v>
      </c>
      <c r="I228" s="18">
        <v>61704.86</v>
      </c>
      <c r="J228" s="18">
        <v>0</v>
      </c>
      <c r="K228" s="18">
        <v>0</v>
      </c>
      <c r="L228" s="19">
        <f>SUM(F228:K228)</f>
        <v>440512.08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825834.3</v>
      </c>
      <c r="G230" s="18">
        <v>401628.42</v>
      </c>
      <c r="H230" s="18">
        <v>115885.98</v>
      </c>
      <c r="I230" s="18">
        <v>6488.23</v>
      </c>
      <c r="J230" s="18">
        <v>0</v>
      </c>
      <c r="K230" s="18">
        <v>11938.23</v>
      </c>
      <c r="L230" s="19">
        <f t="shared" ref="L230:L236" si="4">SUM(F230:K230)</f>
        <v>1361775.16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42778.06</v>
      </c>
      <c r="G231" s="18">
        <v>20788.59</v>
      </c>
      <c r="H231" s="18">
        <v>6779.52</v>
      </c>
      <c r="I231" s="18">
        <v>18172.62</v>
      </c>
      <c r="J231" s="18">
        <v>39434.54</v>
      </c>
      <c r="K231" s="18">
        <v>219.66</v>
      </c>
      <c r="L231" s="19">
        <f t="shared" si="4"/>
        <v>128172.98999999999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436436.07</v>
      </c>
      <c r="G232" s="18">
        <v>219820.87</v>
      </c>
      <c r="H232" s="18">
        <v>39854.53</v>
      </c>
      <c r="I232" s="18">
        <v>3129.32</v>
      </c>
      <c r="J232" s="18">
        <v>0</v>
      </c>
      <c r="K232" s="18">
        <v>19886.03</v>
      </c>
      <c r="L232" s="19">
        <f t="shared" si="4"/>
        <v>719126.82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453825.21</v>
      </c>
      <c r="G233" s="18">
        <v>222120.58</v>
      </c>
      <c r="H233" s="18">
        <v>60815.360000000001</v>
      </c>
      <c r="I233" s="18">
        <v>5002.7299999999996</v>
      </c>
      <c r="J233" s="18">
        <v>0</v>
      </c>
      <c r="K233" s="18">
        <v>2995</v>
      </c>
      <c r="L233" s="19">
        <f t="shared" si="4"/>
        <v>744758.88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110223.45</v>
      </c>
      <c r="G234" s="18">
        <v>55533.35</v>
      </c>
      <c r="H234" s="18">
        <v>68806.06</v>
      </c>
      <c r="I234" s="18">
        <v>2997.05</v>
      </c>
      <c r="J234" s="18">
        <v>889.83</v>
      </c>
      <c r="K234" s="18">
        <v>260.91000000000003</v>
      </c>
      <c r="L234" s="19">
        <f t="shared" si="4"/>
        <v>238710.64999999997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524530</v>
      </c>
      <c r="G235" s="18">
        <v>264059.55</v>
      </c>
      <c r="H235" s="18">
        <v>310197.39</v>
      </c>
      <c r="I235" s="18">
        <v>464159.39</v>
      </c>
      <c r="J235" s="18">
        <v>83154.649999999994</v>
      </c>
      <c r="K235" s="18"/>
      <c r="L235" s="19">
        <f t="shared" si="4"/>
        <v>1646100.98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319349.88</v>
      </c>
      <c r="I236" s="18"/>
      <c r="J236" s="18"/>
      <c r="K236" s="18"/>
      <c r="L236" s="19">
        <f t="shared" si="4"/>
        <v>319349.88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145463.26999999999</v>
      </c>
      <c r="G237" s="18">
        <v>72488.95</v>
      </c>
      <c r="H237" s="18">
        <v>14710.2</v>
      </c>
      <c r="I237" s="18">
        <v>11380.8</v>
      </c>
      <c r="J237" s="18">
        <v>102741.67</v>
      </c>
      <c r="K237" s="18">
        <v>818.61</v>
      </c>
      <c r="L237" s="19">
        <f>SUM(F237:K237)</f>
        <v>347603.49999999994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7966867.1099999994</v>
      </c>
      <c r="G239" s="41">
        <f t="shared" si="5"/>
        <v>3862849.94</v>
      </c>
      <c r="H239" s="41">
        <f t="shared" si="5"/>
        <v>2135250.5</v>
      </c>
      <c r="I239" s="41">
        <f t="shared" si="5"/>
        <v>725710.28</v>
      </c>
      <c r="J239" s="41">
        <f t="shared" si="5"/>
        <v>248709.33999999997</v>
      </c>
      <c r="K239" s="41">
        <f t="shared" si="5"/>
        <v>38892.44</v>
      </c>
      <c r="L239" s="41">
        <f t="shared" si="5"/>
        <v>14978279.610000003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9233</v>
      </c>
      <c r="G243" s="18">
        <v>706</v>
      </c>
      <c r="H243" s="18">
        <v>3200</v>
      </c>
      <c r="I243" s="18"/>
      <c r="J243" s="18"/>
      <c r="K243" s="18"/>
      <c r="L243" s="19">
        <f t="shared" si="6"/>
        <v>13139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9233</v>
      </c>
      <c r="G248" s="41">
        <f t="shared" si="7"/>
        <v>706</v>
      </c>
      <c r="H248" s="41">
        <f t="shared" si="7"/>
        <v>3200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13139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20574406.109999999</v>
      </c>
      <c r="G249" s="41">
        <f t="shared" si="8"/>
        <v>9901904.0700000003</v>
      </c>
      <c r="H249" s="41">
        <f t="shared" si="8"/>
        <v>3369765.43</v>
      </c>
      <c r="I249" s="41">
        <f t="shared" si="8"/>
        <v>1461360.6400000001</v>
      </c>
      <c r="J249" s="41">
        <f t="shared" si="8"/>
        <v>476769.99</v>
      </c>
      <c r="K249" s="41">
        <f t="shared" si="8"/>
        <v>57673.810000000005</v>
      </c>
      <c r="L249" s="41">
        <f t="shared" si="8"/>
        <v>35841880.050000004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20574406.109999999</v>
      </c>
      <c r="G263" s="42">
        <f t="shared" si="11"/>
        <v>9901904.0700000003</v>
      </c>
      <c r="H263" s="42">
        <f t="shared" si="11"/>
        <v>3369765.43</v>
      </c>
      <c r="I263" s="42">
        <f t="shared" si="11"/>
        <v>1461360.6400000001</v>
      </c>
      <c r="J263" s="42">
        <f t="shared" si="11"/>
        <v>476769.99</v>
      </c>
      <c r="K263" s="42">
        <f t="shared" si="11"/>
        <v>57673.810000000005</v>
      </c>
      <c r="L263" s="42">
        <f t="shared" si="11"/>
        <v>35841880.050000004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171974.04</v>
      </c>
      <c r="G268" s="18">
        <v>48094.73</v>
      </c>
      <c r="H268" s="18">
        <v>8608.2900000000009</v>
      </c>
      <c r="I268" s="18">
        <v>4058.56</v>
      </c>
      <c r="J268" s="18">
        <v>1019.21</v>
      </c>
      <c r="K268" s="18">
        <v>38.49</v>
      </c>
      <c r="L268" s="19">
        <f>SUM(F268:K268)</f>
        <v>233793.32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777114.83</v>
      </c>
      <c r="G269" s="18">
        <v>150900.62</v>
      </c>
      <c r="H269" s="18">
        <v>56311.49</v>
      </c>
      <c r="I269" s="18">
        <v>17048.84</v>
      </c>
      <c r="J269" s="18">
        <v>15026.82</v>
      </c>
      <c r="K269" s="18">
        <v>0</v>
      </c>
      <c r="L269" s="19">
        <f>SUM(F269:K269)</f>
        <v>1016402.5999999999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19127.009999999998</v>
      </c>
      <c r="G271" s="18">
        <v>2462.58</v>
      </c>
      <c r="H271" s="18">
        <v>51936.03</v>
      </c>
      <c r="I271" s="18">
        <v>21408.36</v>
      </c>
      <c r="J271" s="18">
        <v>1120.3</v>
      </c>
      <c r="K271" s="18">
        <v>0</v>
      </c>
      <c r="L271" s="19">
        <f>SUM(F271:K271)</f>
        <v>96054.28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85919.29</v>
      </c>
      <c r="G273" s="18">
        <v>10073.219999999999</v>
      </c>
      <c r="H273" s="18">
        <v>34957.26</v>
      </c>
      <c r="I273" s="18">
        <v>9365.8799999999992</v>
      </c>
      <c r="J273" s="18">
        <v>596.02</v>
      </c>
      <c r="K273" s="18">
        <v>2482.0300000000002</v>
      </c>
      <c r="L273" s="19">
        <f t="shared" ref="L273:L279" si="12">SUM(F273:K273)</f>
        <v>143393.69999999998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780</v>
      </c>
      <c r="G274" s="18">
        <v>118.04</v>
      </c>
      <c r="H274" s="18">
        <v>72366.320000000007</v>
      </c>
      <c r="I274" s="18">
        <v>25303.8</v>
      </c>
      <c r="J274" s="18">
        <v>0</v>
      </c>
      <c r="K274" s="18">
        <v>0</v>
      </c>
      <c r="L274" s="19">
        <f t="shared" si="12"/>
        <v>98568.16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58183.35</v>
      </c>
      <c r="G275" s="18">
        <v>9134.49</v>
      </c>
      <c r="H275" s="18">
        <v>409</v>
      </c>
      <c r="I275" s="18">
        <v>80.97</v>
      </c>
      <c r="J275" s="18"/>
      <c r="K275" s="18"/>
      <c r="L275" s="19">
        <f t="shared" si="12"/>
        <v>67807.81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5185.13</v>
      </c>
      <c r="I279" s="18"/>
      <c r="J279" s="18"/>
      <c r="K279" s="18"/>
      <c r="L279" s="19">
        <f t="shared" si="12"/>
        <v>5185.13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1113098.52</v>
      </c>
      <c r="G282" s="42">
        <f t="shared" si="13"/>
        <v>220783.68</v>
      </c>
      <c r="H282" s="42">
        <f t="shared" si="13"/>
        <v>229773.52000000002</v>
      </c>
      <c r="I282" s="42">
        <f t="shared" si="13"/>
        <v>77266.41</v>
      </c>
      <c r="J282" s="42">
        <f t="shared" si="13"/>
        <v>17762.349999999999</v>
      </c>
      <c r="K282" s="42">
        <f t="shared" si="13"/>
        <v>2520.52</v>
      </c>
      <c r="L282" s="41">
        <f t="shared" si="13"/>
        <v>1661204.9999999998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760</v>
      </c>
      <c r="G287" s="18">
        <v>58.14</v>
      </c>
      <c r="H287" s="18">
        <v>4602.1499999999996</v>
      </c>
      <c r="I287" s="18">
        <v>3541.84</v>
      </c>
      <c r="J287" s="18">
        <v>72757.89</v>
      </c>
      <c r="K287" s="18">
        <v>20.58</v>
      </c>
      <c r="L287" s="19">
        <f>SUM(F287:K287)</f>
        <v>81740.600000000006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395593.86</v>
      </c>
      <c r="G288" s="18">
        <v>59743.99</v>
      </c>
      <c r="H288" s="18">
        <v>29013.85</v>
      </c>
      <c r="I288" s="18">
        <v>4663.2700000000004</v>
      </c>
      <c r="J288" s="18">
        <v>8033.61</v>
      </c>
      <c r="K288" s="18">
        <v>0</v>
      </c>
      <c r="L288" s="19">
        <f>SUM(F288:K288)</f>
        <v>497048.57999999996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399.22</v>
      </c>
      <c r="G290" s="18">
        <v>60.28</v>
      </c>
      <c r="H290" s="18">
        <v>617.35</v>
      </c>
      <c r="I290" s="18">
        <v>73.38</v>
      </c>
      <c r="J290" s="18"/>
      <c r="K290" s="18"/>
      <c r="L290" s="19">
        <f>SUM(F290:K290)</f>
        <v>1150.23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60839.77</v>
      </c>
      <c r="G292" s="18">
        <v>9034.94</v>
      </c>
      <c r="H292" s="18">
        <v>14768.72</v>
      </c>
      <c r="I292" s="18">
        <v>906.74</v>
      </c>
      <c r="J292" s="18">
        <v>246.94</v>
      </c>
      <c r="K292" s="18">
        <v>1326.94</v>
      </c>
      <c r="L292" s="19">
        <f t="shared" ref="L292:L298" si="14">SUM(F292:K292)</f>
        <v>87124.05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6000</v>
      </c>
      <c r="G293" s="18">
        <v>909.5</v>
      </c>
      <c r="H293" s="18">
        <v>3842.44</v>
      </c>
      <c r="I293" s="18">
        <v>0</v>
      </c>
      <c r="J293" s="18">
        <v>0</v>
      </c>
      <c r="K293" s="18">
        <v>0</v>
      </c>
      <c r="L293" s="19">
        <f t="shared" si="14"/>
        <v>10751.94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8424.84</v>
      </c>
      <c r="G294" s="18">
        <v>1417.37</v>
      </c>
      <c r="H294" s="18"/>
      <c r="I294" s="18"/>
      <c r="J294" s="18"/>
      <c r="K294" s="18"/>
      <c r="L294" s="19">
        <f t="shared" si="14"/>
        <v>9842.2099999999991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2772.07</v>
      </c>
      <c r="I298" s="18"/>
      <c r="J298" s="18"/>
      <c r="K298" s="18"/>
      <c r="L298" s="19">
        <f t="shared" si="14"/>
        <v>2772.07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472017.69</v>
      </c>
      <c r="G301" s="42">
        <f t="shared" si="15"/>
        <v>71224.219999999987</v>
      </c>
      <c r="H301" s="42">
        <f t="shared" si="15"/>
        <v>55616.58</v>
      </c>
      <c r="I301" s="42">
        <f t="shared" si="15"/>
        <v>9185.23</v>
      </c>
      <c r="J301" s="42">
        <f t="shared" si="15"/>
        <v>81038.44</v>
      </c>
      <c r="K301" s="42">
        <f t="shared" si="15"/>
        <v>1347.52</v>
      </c>
      <c r="L301" s="41">
        <f t="shared" si="15"/>
        <v>690429.67999999982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>
        <v>9153.76</v>
      </c>
      <c r="I306" s="18">
        <v>2071.41</v>
      </c>
      <c r="J306" s="18">
        <v>8575.19</v>
      </c>
      <c r="K306" s="18">
        <v>40.93</v>
      </c>
      <c r="L306" s="19">
        <f>SUM(F306:K306)</f>
        <v>19841.29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1044361.59</v>
      </c>
      <c r="G307" s="18">
        <v>155963.76999999999</v>
      </c>
      <c r="H307" s="18">
        <v>71728.740000000005</v>
      </c>
      <c r="I307" s="18">
        <v>39832.92</v>
      </c>
      <c r="J307" s="18">
        <v>22987.79</v>
      </c>
      <c r="K307" s="18">
        <v>929.55</v>
      </c>
      <c r="L307" s="19">
        <f>SUM(F307:K307)</f>
        <v>1335804.3599999999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35324.93</v>
      </c>
      <c r="G308" s="18">
        <v>3923.69</v>
      </c>
      <c r="H308" s="18">
        <v>660.31</v>
      </c>
      <c r="I308" s="18">
        <v>2485.3000000000002</v>
      </c>
      <c r="J308" s="18"/>
      <c r="K308" s="18"/>
      <c r="L308" s="19">
        <f>SUM(F308:K308)</f>
        <v>42394.23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14694.05</v>
      </c>
      <c r="G309" s="18">
        <v>2570</v>
      </c>
      <c r="H309" s="18">
        <v>23652.91</v>
      </c>
      <c r="I309" s="18">
        <v>9782.41</v>
      </c>
      <c r="J309" s="18">
        <v>0</v>
      </c>
      <c r="K309" s="18">
        <v>0</v>
      </c>
      <c r="L309" s="19">
        <f>SUM(F309:K309)</f>
        <v>50699.369999999995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293534.09000000003</v>
      </c>
      <c r="G311" s="18">
        <v>38943.019999999997</v>
      </c>
      <c r="H311" s="18">
        <v>32008.59</v>
      </c>
      <c r="I311" s="18">
        <v>41921.21</v>
      </c>
      <c r="J311" s="18">
        <v>26149.119999999999</v>
      </c>
      <c r="K311" s="18">
        <v>3835.63</v>
      </c>
      <c r="L311" s="19">
        <f t="shared" ref="L311:L317" si="16">SUM(F311:K311)</f>
        <v>436391.66000000009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1914.31</v>
      </c>
      <c r="I312" s="18"/>
      <c r="J312" s="18"/>
      <c r="K312" s="18">
        <v>2416.12</v>
      </c>
      <c r="L312" s="19">
        <f t="shared" si="16"/>
        <v>4330.43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95439.19</v>
      </c>
      <c r="G313" s="18">
        <v>15757.53</v>
      </c>
      <c r="H313" s="18"/>
      <c r="I313" s="18"/>
      <c r="J313" s="18"/>
      <c r="K313" s="18"/>
      <c r="L313" s="19">
        <f t="shared" si="16"/>
        <v>111196.72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80791.899999999994</v>
      </c>
      <c r="G314" s="18">
        <v>12255.61</v>
      </c>
      <c r="H314" s="18"/>
      <c r="I314" s="18"/>
      <c r="J314" s="18"/>
      <c r="K314" s="18"/>
      <c r="L314" s="19">
        <f t="shared" si="16"/>
        <v>93047.51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>
        <v>1310.19</v>
      </c>
      <c r="I315" s="18"/>
      <c r="J315" s="18"/>
      <c r="K315" s="18"/>
      <c r="L315" s="19">
        <f t="shared" si="16"/>
        <v>1310.19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27046.65</v>
      </c>
      <c r="G316" s="18">
        <v>4408.26</v>
      </c>
      <c r="H316" s="18">
        <v>2913.52</v>
      </c>
      <c r="I316" s="18">
        <v>27918.36</v>
      </c>
      <c r="J316" s="18"/>
      <c r="K316" s="18"/>
      <c r="L316" s="19">
        <f t="shared" si="16"/>
        <v>62286.79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5698.29</v>
      </c>
      <c r="I317" s="18"/>
      <c r="J317" s="18"/>
      <c r="K317" s="18"/>
      <c r="L317" s="19">
        <f t="shared" si="16"/>
        <v>5698.29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1591192.4</v>
      </c>
      <c r="G320" s="42">
        <f t="shared" si="17"/>
        <v>233821.88</v>
      </c>
      <c r="H320" s="42">
        <f t="shared" si="17"/>
        <v>149040.62</v>
      </c>
      <c r="I320" s="42">
        <f t="shared" si="17"/>
        <v>124011.61</v>
      </c>
      <c r="J320" s="42">
        <f t="shared" si="17"/>
        <v>57712.100000000006</v>
      </c>
      <c r="K320" s="42">
        <f t="shared" si="17"/>
        <v>7222.23</v>
      </c>
      <c r="L320" s="41">
        <f t="shared" si="17"/>
        <v>2163000.84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23594.02</v>
      </c>
      <c r="G325" s="18">
        <v>1873.5</v>
      </c>
      <c r="H325" s="18">
        <v>13882.66</v>
      </c>
      <c r="I325" s="18">
        <v>3644.78</v>
      </c>
      <c r="J325" s="18"/>
      <c r="K325" s="18"/>
      <c r="L325" s="19">
        <f t="shared" si="18"/>
        <v>42994.96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23594.02</v>
      </c>
      <c r="G329" s="41">
        <f t="shared" si="19"/>
        <v>1873.5</v>
      </c>
      <c r="H329" s="41">
        <f t="shared" si="19"/>
        <v>13882.66</v>
      </c>
      <c r="I329" s="41">
        <f t="shared" si="19"/>
        <v>3644.78</v>
      </c>
      <c r="J329" s="41">
        <f t="shared" si="19"/>
        <v>0</v>
      </c>
      <c r="K329" s="41">
        <f t="shared" si="19"/>
        <v>0</v>
      </c>
      <c r="L329" s="41">
        <f t="shared" si="18"/>
        <v>42994.96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3199902.63</v>
      </c>
      <c r="G330" s="41">
        <f t="shared" si="20"/>
        <v>527703.28</v>
      </c>
      <c r="H330" s="41">
        <f t="shared" si="20"/>
        <v>448313.38</v>
      </c>
      <c r="I330" s="41">
        <f t="shared" si="20"/>
        <v>214108.03</v>
      </c>
      <c r="J330" s="41">
        <f t="shared" si="20"/>
        <v>156512.89000000001</v>
      </c>
      <c r="K330" s="41">
        <f t="shared" si="20"/>
        <v>11090.27</v>
      </c>
      <c r="L330" s="41">
        <f t="shared" si="20"/>
        <v>4557630.4799999995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3199902.63</v>
      </c>
      <c r="G344" s="41">
        <f>G330</f>
        <v>527703.28</v>
      </c>
      <c r="H344" s="41">
        <f>H330</f>
        <v>448313.38</v>
      </c>
      <c r="I344" s="41">
        <f>I330</f>
        <v>214108.03</v>
      </c>
      <c r="J344" s="41">
        <f>J330</f>
        <v>156512.89000000001</v>
      </c>
      <c r="K344" s="47">
        <f>K330+K343</f>
        <v>11090.27</v>
      </c>
      <c r="L344" s="41">
        <f>L330+L343</f>
        <v>4557630.4799999995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165912.29</v>
      </c>
      <c r="G350" s="18">
        <v>28581.89</v>
      </c>
      <c r="H350" s="18">
        <v>5724.07</v>
      </c>
      <c r="I350" s="18">
        <v>131943.72</v>
      </c>
      <c r="J350" s="18">
        <v>3578.15</v>
      </c>
      <c r="K350" s="18">
        <v>0</v>
      </c>
      <c r="L350" s="13">
        <f>SUM(F350:K350)</f>
        <v>335740.12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85203.01</v>
      </c>
      <c r="G351" s="18">
        <v>13793.01</v>
      </c>
      <c r="H351" s="18">
        <v>3060.19</v>
      </c>
      <c r="I351" s="18">
        <v>70539.509999999995</v>
      </c>
      <c r="J351" s="18">
        <v>1912.95</v>
      </c>
      <c r="K351" s="18">
        <v>0</v>
      </c>
      <c r="L351" s="19">
        <f>SUM(F351:K351)</f>
        <v>174508.66999999998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128790.84</v>
      </c>
      <c r="G352" s="18">
        <v>22036.38</v>
      </c>
      <c r="H352" s="18">
        <v>6086.78</v>
      </c>
      <c r="I352" s="18">
        <v>140304.31</v>
      </c>
      <c r="J352" s="18">
        <v>3804.88</v>
      </c>
      <c r="K352" s="18">
        <v>0</v>
      </c>
      <c r="L352" s="19">
        <f>SUM(F352:K352)</f>
        <v>301023.19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379906.14</v>
      </c>
      <c r="G354" s="47">
        <f t="shared" si="22"/>
        <v>64411.28</v>
      </c>
      <c r="H354" s="47">
        <f t="shared" si="22"/>
        <v>14871.04</v>
      </c>
      <c r="I354" s="47">
        <f t="shared" si="22"/>
        <v>342787.54</v>
      </c>
      <c r="J354" s="47">
        <f t="shared" si="22"/>
        <v>9295.98</v>
      </c>
      <c r="K354" s="47">
        <f t="shared" si="22"/>
        <v>0</v>
      </c>
      <c r="L354" s="47">
        <f t="shared" si="22"/>
        <v>811271.98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122182.73</v>
      </c>
      <c r="G359" s="18">
        <v>65321.1</v>
      </c>
      <c r="H359" s="18">
        <v>129924.82</v>
      </c>
      <c r="I359" s="56">
        <f>SUM(F359:H359)</f>
        <v>317428.65000000002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9760.99</v>
      </c>
      <c r="G360" s="63">
        <v>5218.3999999999996</v>
      </c>
      <c r="H360" s="63">
        <v>10379.5</v>
      </c>
      <c r="I360" s="56">
        <f>SUM(F360:H360)</f>
        <v>25358.89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131943.72</v>
      </c>
      <c r="G361" s="47">
        <f>SUM(G359:G360)</f>
        <v>70539.5</v>
      </c>
      <c r="H361" s="47">
        <f>SUM(H359:H360)</f>
        <v>140304.32000000001</v>
      </c>
      <c r="I361" s="47">
        <f>SUM(I359:I360)</f>
        <v>342787.54000000004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5305.08</v>
      </c>
      <c r="I395" s="18">
        <v>30250</v>
      </c>
      <c r="J395" s="24" t="s">
        <v>312</v>
      </c>
      <c r="K395" s="24" t="s">
        <v>312</v>
      </c>
      <c r="L395" s="56">
        <f>SUM(F395:K395)</f>
        <v>35555.08</v>
      </c>
      <c r="M395" s="8"/>
    </row>
    <row r="396" spans="1:13" s="3" customFormat="1" ht="12" customHeight="1" x14ac:dyDescent="0.15">
      <c r="A396" s="110" t="s">
        <v>895</v>
      </c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>
        <v>211871.34</v>
      </c>
      <c r="I396" s="18">
        <v>12896.06</v>
      </c>
      <c r="J396" s="24" t="s">
        <v>312</v>
      </c>
      <c r="K396" s="24" t="s">
        <v>312</v>
      </c>
      <c r="L396" s="56">
        <f>SUM(F396:K396)</f>
        <v>224767.4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217176.41999999998</v>
      </c>
      <c r="I399" s="47">
        <f>SUM(I395:I398)</f>
        <v>43146.06</v>
      </c>
      <c r="J399" s="49" t="s">
        <v>312</v>
      </c>
      <c r="K399" s="49" t="s">
        <v>312</v>
      </c>
      <c r="L399" s="47">
        <f>SUM(L395:L398)</f>
        <v>260322.47999999998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217176.41999999998</v>
      </c>
      <c r="I400" s="47">
        <f>I385+I393+I399</f>
        <v>43146.06</v>
      </c>
      <c r="J400" s="24" t="s">
        <v>312</v>
      </c>
      <c r="K400" s="24" t="s">
        <v>312</v>
      </c>
      <c r="L400" s="47">
        <f>L385+L393+L399</f>
        <v>260322.47999999998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 t="s">
        <v>894</v>
      </c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>
        <v>324.79000000000002</v>
      </c>
      <c r="L422" s="56">
        <f>SUM(F422:K422)</f>
        <v>324.79000000000002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 t="s">
        <v>895</v>
      </c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>
        <v>163891.37</v>
      </c>
      <c r="L423" s="56">
        <f>SUM(F423:K423)</f>
        <v>163891.37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164216.16</v>
      </c>
      <c r="L425" s="47">
        <f t="shared" si="31"/>
        <v>164216.16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164216.16</v>
      </c>
      <c r="L426" s="47">
        <f t="shared" si="32"/>
        <v>164216.16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>
        <v>5206.0600000000004</v>
      </c>
      <c r="I431" s="56">
        <f t="shared" ref="I431:I437" si="33">SUM(F431:H431)</f>
        <v>5206.0600000000004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4794586.43</v>
      </c>
      <c r="I432" s="56">
        <f t="shared" si="33"/>
        <v>4794586.43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4799792.4899999993</v>
      </c>
      <c r="I438" s="13">
        <f>SUM(I431:I437)</f>
        <v>4799792.4899999993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>
        <v>4799792.49</v>
      </c>
      <c r="I448" s="56">
        <f>SUM(F448:H448)</f>
        <v>4799792.49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4799792.49</v>
      </c>
      <c r="I450" s="83">
        <f>SUM(I446:I449)</f>
        <v>4799792.49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4799792.49</v>
      </c>
      <c r="I451" s="42">
        <f>I444+I450</f>
        <v>4799792.49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3446.16</v>
      </c>
      <c r="H455" s="18">
        <v>443413.72</v>
      </c>
      <c r="I455" s="18">
        <v>0</v>
      </c>
      <c r="J455" s="18">
        <v>4703686.17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35841880.049999997</v>
      </c>
      <c r="G458" s="18">
        <v>823720.06</v>
      </c>
      <c r="H458" s="18">
        <v>4694737.55</v>
      </c>
      <c r="I458" s="18"/>
      <c r="J458" s="18">
        <v>260322.48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35841880.049999997</v>
      </c>
      <c r="G460" s="53">
        <f>SUM(G458:G459)</f>
        <v>823720.06</v>
      </c>
      <c r="H460" s="53">
        <f>SUM(H458:H459)</f>
        <v>4694737.55</v>
      </c>
      <c r="I460" s="53">
        <f>SUM(I458:I459)</f>
        <v>0</v>
      </c>
      <c r="J460" s="53">
        <f>SUM(J458:J459)</f>
        <v>260322.48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35841880.049999997</v>
      </c>
      <c r="G462" s="18">
        <v>811271.98</v>
      </c>
      <c r="H462" s="18">
        <v>4557630.4800000004</v>
      </c>
      <c r="I462" s="18"/>
      <c r="J462" s="18">
        <v>164216.16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128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35841880.049999997</v>
      </c>
      <c r="G464" s="53">
        <f>SUM(G462:G463)</f>
        <v>811399.98</v>
      </c>
      <c r="H464" s="53">
        <f>SUM(H462:H463)</f>
        <v>4557630.4800000004</v>
      </c>
      <c r="I464" s="53">
        <f>SUM(I462:I463)</f>
        <v>0</v>
      </c>
      <c r="J464" s="53">
        <f>SUM(J462:J463)</f>
        <v>164216.16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15766.240000000107</v>
      </c>
      <c r="H466" s="53">
        <f>(H455+H460)- H464</f>
        <v>580520.78999999911</v>
      </c>
      <c r="I466" s="53">
        <f>(I455+I460)- I464</f>
        <v>0</v>
      </c>
      <c r="J466" s="53">
        <f>(J455+J460)- J464</f>
        <v>4799792.49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896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1726278.41</v>
      </c>
      <c r="G511" s="18">
        <v>700775.53</v>
      </c>
      <c r="H511" s="18">
        <v>133489.88</v>
      </c>
      <c r="I511" s="18">
        <v>10030.51</v>
      </c>
      <c r="J511" s="18">
        <v>14798.84</v>
      </c>
      <c r="K511" s="18"/>
      <c r="L511" s="88">
        <f>SUM(F511:K511)</f>
        <v>2585373.1699999995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953047.96</v>
      </c>
      <c r="G512" s="18">
        <v>322534.27</v>
      </c>
      <c r="H512" s="18">
        <v>105693.84</v>
      </c>
      <c r="I512" s="18">
        <v>4614.84</v>
      </c>
      <c r="J512" s="18">
        <v>9536.36</v>
      </c>
      <c r="K512" s="18"/>
      <c r="L512" s="88">
        <f>SUM(F512:K512)</f>
        <v>1395427.2700000003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1709631.85</v>
      </c>
      <c r="G513" s="18">
        <v>476989.45</v>
      </c>
      <c r="H513" s="18">
        <v>922121.78</v>
      </c>
      <c r="I513" s="18">
        <v>40207.08</v>
      </c>
      <c r="J513" s="18">
        <v>22801.46</v>
      </c>
      <c r="K513" s="18">
        <v>929.55</v>
      </c>
      <c r="L513" s="88">
        <f>SUM(F513:K513)</f>
        <v>3172681.17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4388958.2200000007</v>
      </c>
      <c r="G514" s="108">
        <f t="shared" ref="G514:L514" si="35">SUM(G511:G513)</f>
        <v>1500299.25</v>
      </c>
      <c r="H514" s="108">
        <f t="shared" si="35"/>
        <v>1161305.5</v>
      </c>
      <c r="I514" s="108">
        <f t="shared" si="35"/>
        <v>54852.43</v>
      </c>
      <c r="J514" s="108">
        <f t="shared" si="35"/>
        <v>47136.66</v>
      </c>
      <c r="K514" s="108">
        <f t="shared" si="35"/>
        <v>929.55</v>
      </c>
      <c r="L514" s="89">
        <f t="shared" si="35"/>
        <v>7153481.6099999994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507988.64</v>
      </c>
      <c r="G516" s="18">
        <v>210839.69</v>
      </c>
      <c r="H516" s="18">
        <v>22685.39</v>
      </c>
      <c r="I516" s="18">
        <v>353.68</v>
      </c>
      <c r="J516" s="18"/>
      <c r="K516" s="18"/>
      <c r="L516" s="88">
        <f>SUM(F516:K516)</f>
        <v>741867.40000000014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64184.6</v>
      </c>
      <c r="G517" s="18">
        <v>20913.330000000002</v>
      </c>
      <c r="H517" s="18">
        <v>9811.27</v>
      </c>
      <c r="I517" s="18"/>
      <c r="J517" s="18"/>
      <c r="K517" s="18"/>
      <c r="L517" s="88">
        <f>SUM(F517:K517)</f>
        <v>94909.2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147653.96</v>
      </c>
      <c r="G518" s="18">
        <v>36130.720000000001</v>
      </c>
      <c r="H518" s="18">
        <v>17678.64</v>
      </c>
      <c r="I518" s="18">
        <v>32428.46</v>
      </c>
      <c r="J518" s="18"/>
      <c r="K518" s="18"/>
      <c r="L518" s="88">
        <f>SUM(F518:K518)</f>
        <v>233891.78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719827.2</v>
      </c>
      <c r="G519" s="89">
        <f t="shared" ref="G519:L519" si="36">SUM(G516:G518)</f>
        <v>267883.74</v>
      </c>
      <c r="H519" s="89">
        <f t="shared" si="36"/>
        <v>50175.3</v>
      </c>
      <c r="I519" s="89">
        <f t="shared" si="36"/>
        <v>32782.14</v>
      </c>
      <c r="J519" s="89">
        <f t="shared" si="36"/>
        <v>0</v>
      </c>
      <c r="K519" s="89">
        <f t="shared" si="36"/>
        <v>0</v>
      </c>
      <c r="L519" s="89">
        <f t="shared" si="36"/>
        <v>1070668.3800000001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16774.12</v>
      </c>
      <c r="G521" s="18">
        <v>2728.87</v>
      </c>
      <c r="H521" s="18">
        <v>6504.93</v>
      </c>
      <c r="I521" s="18"/>
      <c r="J521" s="18"/>
      <c r="K521" s="18"/>
      <c r="L521" s="88">
        <f>SUM(F521:K521)</f>
        <v>26007.919999999998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8424.84</v>
      </c>
      <c r="G522" s="18">
        <v>1417.37</v>
      </c>
      <c r="H522" s="18"/>
      <c r="I522" s="18"/>
      <c r="J522" s="18"/>
      <c r="K522" s="18"/>
      <c r="L522" s="88">
        <f>SUM(F522:K522)</f>
        <v>9842.2099999999991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182430.4</v>
      </c>
      <c r="G523" s="18">
        <v>36051.379999999997</v>
      </c>
      <c r="H523" s="18">
        <v>4223.71</v>
      </c>
      <c r="I523" s="18"/>
      <c r="J523" s="18"/>
      <c r="K523" s="18"/>
      <c r="L523" s="88">
        <f>SUM(F523:K523)</f>
        <v>222705.49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207629.36</v>
      </c>
      <c r="G524" s="89">
        <f t="shared" ref="G524:L524" si="37">SUM(G521:G523)</f>
        <v>40197.619999999995</v>
      </c>
      <c r="H524" s="89">
        <f t="shared" si="37"/>
        <v>10728.64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258555.62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18778.7</v>
      </c>
      <c r="I526" s="18"/>
      <c r="J526" s="18"/>
      <c r="K526" s="18"/>
      <c r="L526" s="88">
        <f>SUM(F526:K526)</f>
        <v>18778.7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10039.42</v>
      </c>
      <c r="I527" s="18"/>
      <c r="J527" s="18"/>
      <c r="K527" s="18"/>
      <c r="L527" s="88">
        <f>SUM(F527:K527)</f>
        <v>10039.42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19968.63</v>
      </c>
      <c r="I528" s="18"/>
      <c r="J528" s="18"/>
      <c r="K528" s="18"/>
      <c r="L528" s="88">
        <f>SUM(F528:K528)</f>
        <v>19968.63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48786.75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48786.75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46957.08</v>
      </c>
      <c r="I531" s="18"/>
      <c r="J531" s="18"/>
      <c r="K531" s="18"/>
      <c r="L531" s="88">
        <f>SUM(F531:K531)</f>
        <v>46957.08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25053.279999999999</v>
      </c>
      <c r="I532" s="18"/>
      <c r="J532" s="18"/>
      <c r="K532" s="18"/>
      <c r="L532" s="88">
        <f>SUM(F532:K532)</f>
        <v>25053.279999999999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55714.13</v>
      </c>
      <c r="I533" s="18"/>
      <c r="J533" s="18"/>
      <c r="K533" s="18"/>
      <c r="L533" s="88">
        <f>SUM(F533:K533)</f>
        <v>55714.13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127724.48999999999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127724.48999999999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5316414.7800000012</v>
      </c>
      <c r="G535" s="89">
        <f t="shared" ref="G535:L535" si="40">G514+G519+G524+G529+G534</f>
        <v>1808380.6099999999</v>
      </c>
      <c r="H535" s="89">
        <f t="shared" si="40"/>
        <v>1398720.68</v>
      </c>
      <c r="I535" s="89">
        <f t="shared" si="40"/>
        <v>87634.57</v>
      </c>
      <c r="J535" s="89">
        <f t="shared" si="40"/>
        <v>47136.66</v>
      </c>
      <c r="K535" s="89">
        <f t="shared" si="40"/>
        <v>929.55</v>
      </c>
      <c r="L535" s="89">
        <f t="shared" si="40"/>
        <v>8659216.8499999996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2585373.1699999995</v>
      </c>
      <c r="G539" s="87">
        <f>L516</f>
        <v>741867.40000000014</v>
      </c>
      <c r="H539" s="87">
        <f>L521</f>
        <v>26007.919999999998</v>
      </c>
      <c r="I539" s="87">
        <f>L526</f>
        <v>18778.7</v>
      </c>
      <c r="J539" s="87">
        <f>L531</f>
        <v>46957.08</v>
      </c>
      <c r="K539" s="87">
        <f>SUM(F539:J539)</f>
        <v>3418984.2699999996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1395427.2700000003</v>
      </c>
      <c r="G540" s="87">
        <f>L517</f>
        <v>94909.2</v>
      </c>
      <c r="H540" s="87">
        <f>L522</f>
        <v>9842.2099999999991</v>
      </c>
      <c r="I540" s="87">
        <f>L527</f>
        <v>10039.42</v>
      </c>
      <c r="J540" s="87">
        <f>L532</f>
        <v>25053.279999999999</v>
      </c>
      <c r="K540" s="87">
        <f>SUM(F540:J540)</f>
        <v>1535271.3800000001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3172681.17</v>
      </c>
      <c r="G541" s="87">
        <f>L518</f>
        <v>233891.78</v>
      </c>
      <c r="H541" s="87">
        <f>L523</f>
        <v>222705.49</v>
      </c>
      <c r="I541" s="87">
        <f>L528</f>
        <v>19968.63</v>
      </c>
      <c r="J541" s="87">
        <f>L533</f>
        <v>55714.13</v>
      </c>
      <c r="K541" s="87">
        <f>SUM(F541:J541)</f>
        <v>3704961.1999999993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7153481.6099999994</v>
      </c>
      <c r="G542" s="89">
        <f t="shared" si="41"/>
        <v>1070668.3800000001</v>
      </c>
      <c r="H542" s="89">
        <f t="shared" si="41"/>
        <v>258555.62</v>
      </c>
      <c r="I542" s="89">
        <f t="shared" si="41"/>
        <v>48786.75</v>
      </c>
      <c r="J542" s="89">
        <f t="shared" si="41"/>
        <v>127724.48999999999</v>
      </c>
      <c r="K542" s="89">
        <f t="shared" si="41"/>
        <v>8659216.8499999978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496562.6</v>
      </c>
      <c r="G547" s="18">
        <v>112986.48</v>
      </c>
      <c r="H547" s="18">
        <v>138941.88</v>
      </c>
      <c r="I547" s="18">
        <v>63900.87</v>
      </c>
      <c r="J547" s="18">
        <v>2086.3000000000002</v>
      </c>
      <c r="K547" s="18"/>
      <c r="L547" s="88">
        <f>SUM(F547:K547)</f>
        <v>814478.13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399.22</v>
      </c>
      <c r="G548" s="18">
        <v>60.28</v>
      </c>
      <c r="H548" s="18">
        <v>3056.71</v>
      </c>
      <c r="I548" s="18">
        <v>1571.52</v>
      </c>
      <c r="J548" s="18">
        <v>408</v>
      </c>
      <c r="K548" s="18">
        <v>2192.42</v>
      </c>
      <c r="L548" s="88">
        <f>SUM(F548:K548)</f>
        <v>7688.15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123578.08</v>
      </c>
      <c r="G549" s="18">
        <v>10041.89</v>
      </c>
      <c r="H549" s="18">
        <v>10506.91</v>
      </c>
      <c r="I549" s="18">
        <v>39117.82</v>
      </c>
      <c r="J549" s="18">
        <v>1653.88</v>
      </c>
      <c r="K549" s="18">
        <v>5452.18</v>
      </c>
      <c r="L549" s="88">
        <f>SUM(F549:K549)</f>
        <v>190350.76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620539.89999999991</v>
      </c>
      <c r="G550" s="108">
        <f t="shared" si="42"/>
        <v>123088.65</v>
      </c>
      <c r="H550" s="108">
        <f t="shared" si="42"/>
        <v>152505.5</v>
      </c>
      <c r="I550" s="108">
        <f t="shared" si="42"/>
        <v>104590.20999999999</v>
      </c>
      <c r="J550" s="108">
        <f t="shared" si="42"/>
        <v>4148.18</v>
      </c>
      <c r="K550" s="108">
        <f t="shared" si="42"/>
        <v>7644.6</v>
      </c>
      <c r="L550" s="89">
        <f t="shared" si="42"/>
        <v>1012517.04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68536.28</v>
      </c>
      <c r="G552" s="18">
        <v>8028.18</v>
      </c>
      <c r="H552" s="18">
        <v>787.57</v>
      </c>
      <c r="I552" s="18">
        <v>1980.46</v>
      </c>
      <c r="J552" s="18"/>
      <c r="K552" s="18"/>
      <c r="L552" s="88">
        <f>SUM(F552:K552)</f>
        <v>79332.490000000005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26148.54</v>
      </c>
      <c r="G553" s="18">
        <v>3840.69</v>
      </c>
      <c r="H553" s="18">
        <v>421.05</v>
      </c>
      <c r="I553" s="18">
        <v>1058.79</v>
      </c>
      <c r="J553" s="18"/>
      <c r="K553" s="18"/>
      <c r="L553" s="88">
        <f>SUM(F553:K553)</f>
        <v>31469.07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52010.04</v>
      </c>
      <c r="G554" s="18">
        <v>7639.23</v>
      </c>
      <c r="H554" s="18">
        <v>837.47</v>
      </c>
      <c r="I554" s="18">
        <v>2105.96</v>
      </c>
      <c r="J554" s="18"/>
      <c r="K554" s="18"/>
      <c r="L554" s="88">
        <f>SUM(F554:K554)</f>
        <v>62592.700000000004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146694.86000000002</v>
      </c>
      <c r="G555" s="89">
        <f t="shared" si="43"/>
        <v>19508.099999999999</v>
      </c>
      <c r="H555" s="89">
        <f t="shared" si="43"/>
        <v>2046.0900000000001</v>
      </c>
      <c r="I555" s="89">
        <f t="shared" si="43"/>
        <v>5145.21</v>
      </c>
      <c r="J555" s="89">
        <f t="shared" si="43"/>
        <v>0</v>
      </c>
      <c r="K555" s="89">
        <f t="shared" si="43"/>
        <v>0</v>
      </c>
      <c r="L555" s="89">
        <f t="shared" si="43"/>
        <v>173394.26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1405.5</v>
      </c>
      <c r="G557" s="18">
        <v>142.62</v>
      </c>
      <c r="H557" s="18"/>
      <c r="I557" s="18">
        <v>5931.67</v>
      </c>
      <c r="J557" s="18"/>
      <c r="K557" s="18">
        <v>676</v>
      </c>
      <c r="L557" s="88">
        <f>SUM(F557:K557)</f>
        <v>8155.79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31390.5</v>
      </c>
      <c r="G558" s="18">
        <v>3856.17</v>
      </c>
      <c r="H558" s="18">
        <v>5428</v>
      </c>
      <c r="I558" s="18"/>
      <c r="J558" s="18"/>
      <c r="K558" s="18"/>
      <c r="L558" s="88">
        <f>SUM(F558:K558)</f>
        <v>40674.67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50059.88</v>
      </c>
      <c r="G559" s="18">
        <v>8594.83</v>
      </c>
      <c r="H559" s="18">
        <v>6675</v>
      </c>
      <c r="I559" s="18">
        <v>9636.4500000000007</v>
      </c>
      <c r="J559" s="18"/>
      <c r="K559" s="18"/>
      <c r="L559" s="88">
        <f>SUM(F559:K559)</f>
        <v>74966.16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82855.88</v>
      </c>
      <c r="G560" s="194">
        <f t="shared" ref="G560:L560" si="44">SUM(G557:G559)</f>
        <v>12593.619999999999</v>
      </c>
      <c r="H560" s="194">
        <f t="shared" si="44"/>
        <v>12103</v>
      </c>
      <c r="I560" s="194">
        <f t="shared" si="44"/>
        <v>15568.12</v>
      </c>
      <c r="J560" s="194">
        <f t="shared" si="44"/>
        <v>0</v>
      </c>
      <c r="K560" s="194">
        <f t="shared" si="44"/>
        <v>676</v>
      </c>
      <c r="L560" s="194">
        <f t="shared" si="44"/>
        <v>123796.62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850090.6399999999</v>
      </c>
      <c r="G561" s="89">
        <f t="shared" ref="G561:L561" si="45">G550+G555+G560</f>
        <v>155190.37</v>
      </c>
      <c r="H561" s="89">
        <f t="shared" si="45"/>
        <v>166654.59</v>
      </c>
      <c r="I561" s="89">
        <f t="shared" si="45"/>
        <v>125303.54</v>
      </c>
      <c r="J561" s="89">
        <f t="shared" si="45"/>
        <v>4148.18</v>
      </c>
      <c r="K561" s="89">
        <f t="shared" si="45"/>
        <v>8320.6</v>
      </c>
      <c r="L561" s="89">
        <f t="shared" si="45"/>
        <v>1309707.92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19247.29</v>
      </c>
      <c r="G569" s="18"/>
      <c r="H569" s="18"/>
      <c r="I569" s="87">
        <f t="shared" si="46"/>
        <v>19247.29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144539</v>
      </c>
      <c r="I572" s="87">
        <f t="shared" si="46"/>
        <v>144539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14571.53</v>
      </c>
      <c r="G573" s="18">
        <v>66411.83</v>
      </c>
      <c r="H573" s="18">
        <v>786104.17</v>
      </c>
      <c r="I573" s="87">
        <f t="shared" si="46"/>
        <v>867087.53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198978.99</v>
      </c>
      <c r="I581" s="18">
        <v>106377.65</v>
      </c>
      <c r="J581" s="18">
        <v>211587.58</v>
      </c>
      <c r="K581" s="104">
        <f t="shared" ref="K581:K587" si="47">SUM(H581:J581)</f>
        <v>516944.22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41771.949999999997</v>
      </c>
      <c r="I582" s="18">
        <v>22281.21</v>
      </c>
      <c r="J582" s="18">
        <v>44317.85</v>
      </c>
      <c r="K582" s="104">
        <f t="shared" si="47"/>
        <v>108371.01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783.71</v>
      </c>
      <c r="I584" s="18">
        <v>9664.41</v>
      </c>
      <c r="J584" s="18">
        <v>55065.26</v>
      </c>
      <c r="K584" s="104">
        <f t="shared" si="47"/>
        <v>65513.380000000005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9739.15</v>
      </c>
      <c r="I585" s="18">
        <v>21089.42</v>
      </c>
      <c r="J585" s="18">
        <v>8379.19</v>
      </c>
      <c r="K585" s="104">
        <f t="shared" si="47"/>
        <v>39207.760000000002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251273.8</v>
      </c>
      <c r="I588" s="108">
        <f>SUM(I581:I587)</f>
        <v>159412.69</v>
      </c>
      <c r="J588" s="108">
        <f>SUM(J581:J587)</f>
        <v>319349.88</v>
      </c>
      <c r="K588" s="108">
        <f>SUM(K581:K587)</f>
        <v>730036.37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50369.66</v>
      </c>
      <c r="I593" s="18">
        <v>3032.05</v>
      </c>
      <c r="J593" s="18">
        <v>63270.13</v>
      </c>
      <c r="K593" s="104">
        <f>SUM(H593:J593)</f>
        <v>116671.84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137705.5</v>
      </c>
      <c r="I594" s="18">
        <v>135754.23000000001</v>
      </c>
      <c r="J594" s="18">
        <v>243151.31</v>
      </c>
      <c r="K594" s="104">
        <f>SUM(H594:J594)</f>
        <v>516611.04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188075.16</v>
      </c>
      <c r="I595" s="108">
        <f>SUM(I592:I594)</f>
        <v>138786.28</v>
      </c>
      <c r="J595" s="108">
        <f>SUM(J592:J594)</f>
        <v>306421.44</v>
      </c>
      <c r="K595" s="108">
        <f>SUM(K592:K594)</f>
        <v>633282.88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5088</v>
      </c>
      <c r="G602" s="18">
        <v>683.48</v>
      </c>
      <c r="H602" s="18"/>
      <c r="I602" s="18"/>
      <c r="J602" s="18"/>
      <c r="K602" s="18"/>
      <c r="L602" s="88">
        <f>SUM(F602:K602)</f>
        <v>5771.48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17900</v>
      </c>
      <c r="G603" s="18">
        <v>2663.03</v>
      </c>
      <c r="H603" s="18"/>
      <c r="I603" s="18"/>
      <c r="J603" s="18"/>
      <c r="K603" s="18"/>
      <c r="L603" s="88">
        <f>SUM(F603:K603)</f>
        <v>20563.03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22988</v>
      </c>
      <c r="G604" s="108">
        <f t="shared" si="48"/>
        <v>3346.51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26334.51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45718.509999999995</v>
      </c>
      <c r="H608" s="109">
        <f>SUM(G44)</f>
        <v>45718.51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1062360.57</v>
      </c>
      <c r="H609" s="109">
        <f>SUM(H44)</f>
        <v>1062360.57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4799792.4899999993</v>
      </c>
      <c r="H611" s="109">
        <f>SUM(J44)</f>
        <v>4799792.49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15766.24</v>
      </c>
      <c r="H613" s="109">
        <f>G466</f>
        <v>15766.240000000107</v>
      </c>
      <c r="I613" s="121" t="s">
        <v>108</v>
      </c>
      <c r="J613" s="109">
        <f t="shared" si="49"/>
        <v>-1.0732037480920553E-10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580520.79</v>
      </c>
      <c r="H614" s="109">
        <f>H466</f>
        <v>580520.78999999911</v>
      </c>
      <c r="I614" s="121" t="s">
        <v>110</v>
      </c>
      <c r="J614" s="109">
        <f t="shared" si="49"/>
        <v>9.3132257461547852E-10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4799792.49</v>
      </c>
      <c r="H616" s="109">
        <f>J466</f>
        <v>4799792.49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35841880.049999997</v>
      </c>
      <c r="H617" s="104">
        <f>SUM(F458)</f>
        <v>35841880.049999997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823720.06</v>
      </c>
      <c r="H618" s="104">
        <f>SUM(G458)</f>
        <v>823720.06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4694737.5500000007</v>
      </c>
      <c r="H619" s="104">
        <f>SUM(H458)</f>
        <v>4694737.55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260322.48</v>
      </c>
      <c r="H621" s="104">
        <f>SUM(J458)</f>
        <v>260322.48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35841880.050000004</v>
      </c>
      <c r="H622" s="104">
        <f>SUM(F462)</f>
        <v>35841880.049999997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4557630.4799999995</v>
      </c>
      <c r="H623" s="104">
        <f>SUM(H462)</f>
        <v>4557630.4800000004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342787.54</v>
      </c>
      <c r="H624" s="104">
        <f>I361</f>
        <v>342787.54000000004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811271.98</v>
      </c>
      <c r="H625" s="104">
        <f>SUM(G462)</f>
        <v>811271.98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260322.47999999998</v>
      </c>
      <c r="H627" s="164">
        <f>SUM(J458)</f>
        <v>260322.48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164216.16</v>
      </c>
      <c r="H628" s="164">
        <f>SUM(J462)</f>
        <v>164216.16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4799792.4899999993</v>
      </c>
      <c r="H631" s="104">
        <f>SUM(H451)</f>
        <v>4799792.49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4799792.4899999993</v>
      </c>
      <c r="H632" s="104">
        <f>SUM(I451)</f>
        <v>4799792.49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217176.42</v>
      </c>
      <c r="H634" s="104">
        <f>H400</f>
        <v>217176.41999999998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260322.48</v>
      </c>
      <c r="H636" s="104">
        <f>L400</f>
        <v>260322.47999999998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730036.37</v>
      </c>
      <c r="H637" s="104">
        <f>L200+L218+L236</f>
        <v>730036.37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633282.88</v>
      </c>
      <c r="H638" s="104">
        <f>(J249+J330)-(J247+J328)</f>
        <v>633282.88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251273.8</v>
      </c>
      <c r="H639" s="104">
        <f>H588</f>
        <v>251273.8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159412.69</v>
      </c>
      <c r="H640" s="104">
        <f>I588</f>
        <v>159412.69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319349.88</v>
      </c>
      <c r="H641" s="104">
        <f>J588</f>
        <v>319349.88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15889120.59</v>
      </c>
      <c r="G650" s="19">
        <f>(L221+L301+L351)</f>
        <v>7823224.3200000003</v>
      </c>
      <c r="H650" s="19">
        <f>(L239+L320+L352)</f>
        <v>17442303.640000004</v>
      </c>
      <c r="I650" s="19">
        <f>SUM(F650:H650)</f>
        <v>41154648.550000004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198542.38011079293</v>
      </c>
      <c r="G651" s="19">
        <f>(L351/IF(SUM(L350:L352)=0,1,SUM(L350:L352))*(SUM(G89:G102)))</f>
        <v>103196.98072356955</v>
      </c>
      <c r="H651" s="19">
        <f>(L352/IF(SUM(L350:L352)=0,1,SUM(L350:L352))*(SUM(G89:G102)))</f>
        <v>178012.26916563755</v>
      </c>
      <c r="I651" s="19">
        <f>SUM(F651:H651)</f>
        <v>479751.63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256458.93</v>
      </c>
      <c r="G652" s="19">
        <f>(L218+L298)-(J218+J298)</f>
        <v>162184.76</v>
      </c>
      <c r="H652" s="19">
        <f>(L236+L317)-(J236+J317)</f>
        <v>325048.17</v>
      </c>
      <c r="I652" s="19">
        <f>SUM(F652:H652)</f>
        <v>743691.86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221893.98</v>
      </c>
      <c r="G653" s="200">
        <f>SUM(G565:G577)+SUM(I592:I594)+L602</f>
        <v>210969.59</v>
      </c>
      <c r="H653" s="200">
        <f>SUM(H565:H577)+SUM(J592:J594)+L603</f>
        <v>1257627.6400000001</v>
      </c>
      <c r="I653" s="19">
        <f>SUM(F653:H653)</f>
        <v>1690491.2100000002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15212225.299889207</v>
      </c>
      <c r="G654" s="19">
        <f>G650-SUM(G651:G653)</f>
        <v>7346872.9892764306</v>
      </c>
      <c r="H654" s="19">
        <f>H650-SUM(H651:H653)</f>
        <v>15681615.560834367</v>
      </c>
      <c r="I654" s="19">
        <f>I650-SUM(I651:I653)</f>
        <v>38240713.850000001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1013.75</v>
      </c>
      <c r="G655" s="249">
        <v>535.66</v>
      </c>
      <c r="H655" s="249">
        <v>1066.02</v>
      </c>
      <c r="I655" s="19">
        <f>SUM(F655:H655)</f>
        <v>2615.4299999999998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15005.89</v>
      </c>
      <c r="G657" s="19">
        <f>ROUND(G654/G655,2)</f>
        <v>13715.55</v>
      </c>
      <c r="H657" s="19">
        <f>ROUND(H654/H655,2)</f>
        <v>14710.43</v>
      </c>
      <c r="I657" s="19">
        <f>ROUND(I654/I655,2)</f>
        <v>14621.2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15005.89</v>
      </c>
      <c r="G662" s="19">
        <f>ROUND((G654+G659)/(G655+G660),2)</f>
        <v>13715.55</v>
      </c>
      <c r="H662" s="19">
        <f>ROUND((H654+H659)/(H655+H660),2)</f>
        <v>14710.43</v>
      </c>
      <c r="I662" s="19">
        <f>ROUND((I654+I659)/(I655+I660),2)</f>
        <v>14621.2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27D8-78B9-439A-BFAA-1850241B56EC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Portsmouth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10771708.449999999</v>
      </c>
      <c r="C9" s="230">
        <f>'DOE25'!G189+'DOE25'!G207+'DOE25'!G225+'DOE25'!G268+'DOE25'!G287+'DOE25'!G306</f>
        <v>5218578.8899999997</v>
      </c>
    </row>
    <row r="10" spans="1:3" x14ac:dyDescent="0.2">
      <c r="A10" t="s">
        <v>813</v>
      </c>
      <c r="B10" s="241">
        <v>10059875.25</v>
      </c>
      <c r="C10" s="241">
        <v>4873294.29</v>
      </c>
    </row>
    <row r="11" spans="1:3" x14ac:dyDescent="0.2">
      <c r="A11" t="s">
        <v>814</v>
      </c>
      <c r="B11" s="241">
        <v>365470.4</v>
      </c>
      <c r="C11" s="241">
        <v>178133.5</v>
      </c>
    </row>
    <row r="12" spans="1:3" x14ac:dyDescent="0.2">
      <c r="A12" t="s">
        <v>815</v>
      </c>
      <c r="B12" s="241">
        <v>346362.8</v>
      </c>
      <c r="C12" s="241">
        <v>167151.1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10771708.450000001</v>
      </c>
      <c r="C13" s="232">
        <f>SUM(C10:C12)</f>
        <v>5218578.8899999997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4811543.7300000004</v>
      </c>
      <c r="C18" s="230">
        <f>'DOE25'!G190+'DOE25'!G208+'DOE25'!G226+'DOE25'!G269+'DOE25'!G288+'DOE25'!G307</f>
        <v>1603123.22</v>
      </c>
    </row>
    <row r="19" spans="1:3" x14ac:dyDescent="0.2">
      <c r="A19" t="s">
        <v>813</v>
      </c>
      <c r="B19" s="241">
        <v>3179342.15</v>
      </c>
      <c r="C19" s="241">
        <v>1133782.1599999999</v>
      </c>
    </row>
    <row r="20" spans="1:3" x14ac:dyDescent="0.2">
      <c r="A20" t="s">
        <v>814</v>
      </c>
      <c r="B20" s="241">
        <v>1495208.03</v>
      </c>
      <c r="C20" s="241">
        <v>423816.42</v>
      </c>
    </row>
    <row r="21" spans="1:3" x14ac:dyDescent="0.2">
      <c r="A21" t="s">
        <v>815</v>
      </c>
      <c r="B21" s="241">
        <v>136993.54999999999</v>
      </c>
      <c r="C21" s="241">
        <v>45524.639999999999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4811543.7299999995</v>
      </c>
      <c r="C22" s="232">
        <f>SUM(C19:C21)</f>
        <v>1603123.2199999997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734754.81</v>
      </c>
      <c r="C27" s="235">
        <f>'DOE25'!G191+'DOE25'!G209+'DOE25'!G227+'DOE25'!G270+'DOE25'!G289+'DOE25'!G308</f>
        <v>336925.7</v>
      </c>
    </row>
    <row r="28" spans="1:3" x14ac:dyDescent="0.2">
      <c r="A28" t="s">
        <v>813</v>
      </c>
      <c r="B28" s="241">
        <v>713363.15</v>
      </c>
      <c r="C28" s="241">
        <v>334549.51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21391.66</v>
      </c>
      <c r="C30" s="241">
        <v>2376.19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734754.81</v>
      </c>
      <c r="C31" s="232">
        <f>SUM(C28:C30)</f>
        <v>336925.7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390388.7</v>
      </c>
      <c r="C36" s="236">
        <f>'DOE25'!G192+'DOE25'!G210+'DOE25'!G228+'DOE25'!G271+'DOE25'!G290+'DOE25'!G309</f>
        <v>69787.680000000008</v>
      </c>
    </row>
    <row r="37" spans="1:3" x14ac:dyDescent="0.2">
      <c r="A37" t="s">
        <v>813</v>
      </c>
      <c r="B37" s="241">
        <v>369508.42</v>
      </c>
      <c r="C37" s="241">
        <v>67246.61</v>
      </c>
    </row>
    <row r="38" spans="1:3" x14ac:dyDescent="0.2">
      <c r="A38" t="s">
        <v>814</v>
      </c>
      <c r="B38" s="241">
        <v>18380.28</v>
      </c>
      <c r="C38" s="241">
        <v>2349.8200000000002</v>
      </c>
    </row>
    <row r="39" spans="1:3" x14ac:dyDescent="0.2">
      <c r="A39" t="s">
        <v>815</v>
      </c>
      <c r="B39" s="241">
        <v>2500</v>
      </c>
      <c r="C39" s="241">
        <v>191.25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390388.69999999995</v>
      </c>
      <c r="C40" s="232">
        <f>SUM(C37:C39)</f>
        <v>69787.680000000008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87CD-CBDC-46E6-9FEA-88E971E16C2D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Portsmouth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22928748.969999999</v>
      </c>
      <c r="D5" s="20">
        <f>SUM('DOE25'!L189:L192)+SUM('DOE25'!L207:L210)+SUM('DOE25'!L225:L228)-F5-G5</f>
        <v>22884998.52</v>
      </c>
      <c r="E5" s="244"/>
      <c r="F5" s="256">
        <f>SUM('DOE25'!J189:J192)+SUM('DOE25'!J207:J210)+SUM('DOE25'!J225:J228)</f>
        <v>40300.449999999997</v>
      </c>
      <c r="G5" s="53">
        <f>SUM('DOE25'!K189:K192)+SUM('DOE25'!K207:K210)+SUM('DOE25'!K225:K228)</f>
        <v>3450</v>
      </c>
      <c r="H5" s="260"/>
    </row>
    <row r="6" spans="1:9" x14ac:dyDescent="0.2">
      <c r="A6" s="32">
        <v>2100</v>
      </c>
      <c r="B6" t="s">
        <v>835</v>
      </c>
      <c r="C6" s="246">
        <f t="shared" si="0"/>
        <v>3869168.2700000005</v>
      </c>
      <c r="D6" s="20">
        <f>'DOE25'!L194+'DOE25'!L212+'DOE25'!L230-F6-G6</f>
        <v>3853828.0400000005</v>
      </c>
      <c r="E6" s="244"/>
      <c r="F6" s="256">
        <f>'DOE25'!J194+'DOE25'!J212+'DOE25'!J230</f>
        <v>0</v>
      </c>
      <c r="G6" s="53">
        <f>'DOE25'!K194+'DOE25'!K212+'DOE25'!K230</f>
        <v>15340.23</v>
      </c>
      <c r="H6" s="260"/>
    </row>
    <row r="7" spans="1:9" x14ac:dyDescent="0.2">
      <c r="A7" s="32">
        <v>2200</v>
      </c>
      <c r="B7" t="s">
        <v>868</v>
      </c>
      <c r="C7" s="246">
        <f t="shared" si="0"/>
        <v>547105</v>
      </c>
      <c r="D7" s="20">
        <f>'DOE25'!L195+'DOE25'!L213+'DOE25'!L231-F7-G7</f>
        <v>449968.17999999993</v>
      </c>
      <c r="E7" s="244"/>
      <c r="F7" s="256">
        <f>'DOE25'!J195+'DOE25'!J213+'DOE25'!J231</f>
        <v>96888.790000000008</v>
      </c>
      <c r="G7" s="53">
        <f>'DOE25'!K195+'DOE25'!K213+'DOE25'!K231</f>
        <v>248.03</v>
      </c>
      <c r="H7" s="260"/>
    </row>
    <row r="8" spans="1:9" x14ac:dyDescent="0.2">
      <c r="A8" s="32">
        <v>2300</v>
      </c>
      <c r="B8" t="s">
        <v>836</v>
      </c>
      <c r="C8" s="246">
        <f t="shared" si="0"/>
        <v>920549.33999999973</v>
      </c>
      <c r="D8" s="244"/>
      <c r="E8" s="20">
        <f>'DOE25'!L196+'DOE25'!L214+'DOE25'!L232-F8-G8-D9-D11</f>
        <v>888010.22999999975</v>
      </c>
      <c r="F8" s="256">
        <f>'DOE25'!J196+'DOE25'!J214+'DOE25'!J232</f>
        <v>0</v>
      </c>
      <c r="G8" s="53">
        <f>'DOE25'!K196+'DOE25'!K214+'DOE25'!K232</f>
        <v>32539.11</v>
      </c>
      <c r="H8" s="260"/>
    </row>
    <row r="9" spans="1:9" x14ac:dyDescent="0.2">
      <c r="A9" s="32">
        <v>2310</v>
      </c>
      <c r="B9" t="s">
        <v>852</v>
      </c>
      <c r="C9" s="246">
        <f t="shared" si="0"/>
        <v>27862.240000000002</v>
      </c>
      <c r="D9" s="245">
        <v>27862.240000000002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379736.22</v>
      </c>
      <c r="D11" s="245">
        <v>379736.22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1706848.46</v>
      </c>
      <c r="D12" s="20">
        <f>'DOE25'!L197+'DOE25'!L215+'DOE25'!L233-F12-G12</f>
        <v>1703389.46</v>
      </c>
      <c r="E12" s="244"/>
      <c r="F12" s="256">
        <f>'DOE25'!J197+'DOE25'!J215+'DOE25'!J233</f>
        <v>0</v>
      </c>
      <c r="G12" s="53">
        <f>'DOE25'!K197+'DOE25'!K215+'DOE25'!K233</f>
        <v>3459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576500.60999999987</v>
      </c>
      <c r="D13" s="244"/>
      <c r="E13" s="20">
        <f>'DOE25'!L198+'DOE25'!L216+'DOE25'!L234-F13-G13</f>
        <v>573689.16999999993</v>
      </c>
      <c r="F13" s="256">
        <f>'DOE25'!J198+'DOE25'!J216+'DOE25'!J234</f>
        <v>2174</v>
      </c>
      <c r="G13" s="53">
        <f>'DOE25'!K198+'DOE25'!K216+'DOE25'!K234</f>
        <v>637.44000000000005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3355759.5</v>
      </c>
      <c r="D14" s="20">
        <f>'DOE25'!L199+'DOE25'!L217+'DOE25'!L235-F14-G14</f>
        <v>3206539.96</v>
      </c>
      <c r="E14" s="244"/>
      <c r="F14" s="256">
        <f>'DOE25'!J199+'DOE25'!J217+'DOE25'!J235</f>
        <v>149219.53999999998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730036.37</v>
      </c>
      <c r="D15" s="20">
        <f>'DOE25'!L200+'DOE25'!L218+'DOE25'!L236-F15-G15</f>
        <v>730036.37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786426.06999999983</v>
      </c>
      <c r="D16" s="244"/>
      <c r="E16" s="20">
        <f>'DOE25'!L201+'DOE25'!L219+'DOE25'!L237-F16-G16</f>
        <v>596238.85999999987</v>
      </c>
      <c r="F16" s="256">
        <f>'DOE25'!J201+'DOE25'!J219+'DOE25'!J237</f>
        <v>188187.21000000002</v>
      </c>
      <c r="G16" s="53">
        <f>'DOE25'!K201+'DOE25'!K219+'DOE25'!K237</f>
        <v>2000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13139</v>
      </c>
      <c r="D17" s="20">
        <f>'DOE25'!L243-F17-G17</f>
        <v>13139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493843.32999999996</v>
      </c>
      <c r="D29" s="20">
        <f>'DOE25'!L350+'DOE25'!L351+'DOE25'!L352-'DOE25'!I359-F29-G29</f>
        <v>484547.35</v>
      </c>
      <c r="E29" s="244"/>
      <c r="F29" s="256">
        <f>'DOE25'!J350+'DOE25'!J351+'DOE25'!J352</f>
        <v>9295.98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4557630.4799999995</v>
      </c>
      <c r="D31" s="20">
        <f>'DOE25'!L282+'DOE25'!L301+'DOE25'!L320+'DOE25'!L325+'DOE25'!L326+'DOE25'!L327-F31-G31</f>
        <v>4390027.32</v>
      </c>
      <c r="E31" s="244"/>
      <c r="F31" s="256">
        <f>'DOE25'!J282+'DOE25'!J301+'DOE25'!J320+'DOE25'!J325+'DOE25'!J326+'DOE25'!J327</f>
        <v>156512.89000000001</v>
      </c>
      <c r="G31" s="53">
        <f>'DOE25'!K282+'DOE25'!K301+'DOE25'!K320+'DOE25'!K325+'DOE25'!K326+'DOE25'!K327</f>
        <v>11090.27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38124072.659999996</v>
      </c>
      <c r="E33" s="247">
        <f>SUM(E5:E31)</f>
        <v>2057938.2599999995</v>
      </c>
      <c r="F33" s="247">
        <f>SUM(F5:F31)</f>
        <v>642578.86</v>
      </c>
      <c r="G33" s="247">
        <f>SUM(G5:G31)</f>
        <v>68764.08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2057938.2599999995</v>
      </c>
      <c r="E35" s="250"/>
    </row>
    <row r="36" spans="2:8" ht="12" thickTop="1" x14ac:dyDescent="0.2">
      <c r="B36" t="s">
        <v>849</v>
      </c>
      <c r="D36" s="20">
        <f>D33</f>
        <v>38124072.659999996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17B6-5D9D-44F6-B789-92F30A6E58E8}">
  <sheetPr transitionEvaluation="1" codeName="Sheet2">
    <tabColor indexed="10"/>
  </sheetPr>
  <dimension ref="A1:I156"/>
  <sheetViews>
    <sheetView workbookViewId="0">
      <pane ySplit="2" topLeftCell="A3" activePane="bottomLeft" state="frozen"/>
      <selection pane="bottomLeft" activeCell="E13" sqref="E1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1584</v>
      </c>
      <c r="E9" s="95">
        <f>'DOE25'!H9</f>
        <v>0</v>
      </c>
      <c r="F9" s="95">
        <f>'DOE25'!I9</f>
        <v>0</v>
      </c>
      <c r="G9" s="95">
        <f>'DOE25'!J9</f>
        <v>5206.0600000000004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4794586.43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22847.84</v>
      </c>
      <c r="E13" s="95">
        <f>'DOE25'!H13</f>
        <v>1062360.57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21286.67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45718.509999999995</v>
      </c>
      <c r="E19" s="41">
        <f>SUM(E9:E18)</f>
        <v>1062360.57</v>
      </c>
      <c r="F19" s="41">
        <f>SUM(F9:F18)</f>
        <v>0</v>
      </c>
      <c r="G19" s="41">
        <f>SUM(G9:G18)</f>
        <v>4799792.4899999993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316743.71999999997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2730.59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22572.59</v>
      </c>
      <c r="E30" s="95">
        <f>'DOE25'!H31</f>
        <v>162365.47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7379.68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29952.27</v>
      </c>
      <c r="E32" s="41">
        <f>SUM(E22:E31)</f>
        <v>481839.78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4799792.49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15766.24</v>
      </c>
      <c r="E40" s="95">
        <f>'DOE25'!H41</f>
        <v>580520.79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15766.24</v>
      </c>
      <c r="E42" s="41">
        <f>SUM(E34:E41)</f>
        <v>580520.79</v>
      </c>
      <c r="F42" s="41">
        <f>SUM(F34:F41)</f>
        <v>0</v>
      </c>
      <c r="G42" s="41">
        <f>SUM(G34:G41)</f>
        <v>4799792.49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45718.51</v>
      </c>
      <c r="E43" s="41">
        <f>E42+E32</f>
        <v>1062360.57</v>
      </c>
      <c r="F43" s="41">
        <f>F42+F32</f>
        <v>0</v>
      </c>
      <c r="G43" s="41">
        <f>G42+G32</f>
        <v>4799792.49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20548995.879999999</v>
      </c>
      <c r="D48" s="95">
        <f>'DOE25'!G52</f>
        <v>0</v>
      </c>
      <c r="E48" s="95">
        <f>'DOE25'!H52</f>
        <v>579592.98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5412758.5899999999</v>
      </c>
      <c r="D49" s="24" t="s">
        <v>312</v>
      </c>
      <c r="E49" s="95">
        <f>'DOE25'!H71</f>
        <v>1150228.2100000002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63.83</v>
      </c>
      <c r="E51" s="95">
        <f>'DOE25'!H88</f>
        <v>0</v>
      </c>
      <c r="F51" s="95">
        <f>'DOE25'!I88</f>
        <v>0</v>
      </c>
      <c r="G51" s="95">
        <f>'DOE25'!J88</f>
        <v>217176.42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478570.23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13300.06</v>
      </c>
      <c r="D53" s="95">
        <f>SUM('DOE25'!G90:G102)</f>
        <v>1181.4000000000001</v>
      </c>
      <c r="E53" s="95">
        <f>SUM('DOE25'!H90:H102)</f>
        <v>329601.64</v>
      </c>
      <c r="F53" s="95">
        <f>SUM('DOE25'!I90:I102)</f>
        <v>0</v>
      </c>
      <c r="G53" s="95">
        <f>SUM('DOE25'!J90:J102)</f>
        <v>43146.06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5426058.6499999994</v>
      </c>
      <c r="D54" s="130">
        <f>SUM(D49:D53)</f>
        <v>479815.46</v>
      </c>
      <c r="E54" s="130">
        <f>SUM(E49:E53)</f>
        <v>1479829.85</v>
      </c>
      <c r="F54" s="130">
        <f>SUM(F49:F53)</f>
        <v>0</v>
      </c>
      <c r="G54" s="130">
        <f>SUM(G49:G53)</f>
        <v>260322.48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25975054.529999997</v>
      </c>
      <c r="D55" s="22">
        <f>D48+D54</f>
        <v>479815.46</v>
      </c>
      <c r="E55" s="22">
        <f>E48+E54</f>
        <v>2059422.83</v>
      </c>
      <c r="F55" s="22">
        <f>F48+F54</f>
        <v>0</v>
      </c>
      <c r="G55" s="22">
        <f>G48+G54</f>
        <v>260322.48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160884.85999999999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8447047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61726.14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8669658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1016222.4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179592.98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7872.3</v>
      </c>
      <c r="E69" s="95">
        <f>SUM('DOE25'!H123:H127)</f>
        <v>14850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1195815.3800000001</v>
      </c>
      <c r="D70" s="130">
        <f>SUM(D64:D69)</f>
        <v>7872.3</v>
      </c>
      <c r="E70" s="130">
        <f>SUM(E64:E69)</f>
        <v>14850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9865473.3800000008</v>
      </c>
      <c r="D73" s="130">
        <f>SUM(D71:D72)+D70+D62</f>
        <v>7872.3</v>
      </c>
      <c r="E73" s="130">
        <f>SUM(E71:E72)+E70+E62</f>
        <v>14850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336032.3</v>
      </c>
      <c r="E80" s="95">
        <f>SUM('DOE25'!H145:H153)</f>
        <v>2620464.7200000002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1352.14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1352.14</v>
      </c>
      <c r="D83" s="131">
        <f>SUM(D77:D82)</f>
        <v>336032.3</v>
      </c>
      <c r="E83" s="131">
        <f>SUM(E77:E82)</f>
        <v>2620464.7200000002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35841880.049999997</v>
      </c>
      <c r="D96" s="86">
        <f>D55+D73+D83+D95</f>
        <v>823720.06</v>
      </c>
      <c r="E96" s="86">
        <f>E55+E73+E83+E95</f>
        <v>4694737.5500000007</v>
      </c>
      <c r="F96" s="86">
        <f>F55+F73+F83+F95</f>
        <v>0</v>
      </c>
      <c r="G96" s="86">
        <f>G55+G73+G95</f>
        <v>260322.48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16202083.34</v>
      </c>
      <c r="D101" s="24" t="s">
        <v>312</v>
      </c>
      <c r="E101" s="95">
        <f>('DOE25'!L268)+('DOE25'!L287)+('DOE25'!L306)</f>
        <v>335375.21000000002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5057979.5</v>
      </c>
      <c r="D102" s="24" t="s">
        <v>312</v>
      </c>
      <c r="E102" s="95">
        <f>('DOE25'!L269)+('DOE25'!L288)+('DOE25'!L307)</f>
        <v>2849255.5399999996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1087597.0699999998</v>
      </c>
      <c r="D103" s="24" t="s">
        <v>312</v>
      </c>
      <c r="E103" s="95">
        <f>('DOE25'!L270)+('DOE25'!L289)+('DOE25'!L308)</f>
        <v>42394.23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581089.06000000006</v>
      </c>
      <c r="D104" s="24" t="s">
        <v>312</v>
      </c>
      <c r="E104" s="95">
        <f>+('DOE25'!L271)+('DOE25'!L290)+('DOE25'!L309)</f>
        <v>147903.88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13139</v>
      </c>
      <c r="D106" s="24" t="s">
        <v>312</v>
      </c>
      <c r="E106" s="95">
        <f>+ SUM('DOE25'!L325:L327)</f>
        <v>42994.96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22941887.969999999</v>
      </c>
      <c r="D107" s="86">
        <f>SUM(D101:D106)</f>
        <v>0</v>
      </c>
      <c r="E107" s="86">
        <f>SUM(E101:E106)</f>
        <v>3417923.8199999994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3869168.2700000005</v>
      </c>
      <c r="D110" s="24" t="s">
        <v>312</v>
      </c>
      <c r="E110" s="95">
        <f>+('DOE25'!L273)+('DOE25'!L292)+('DOE25'!L311)</f>
        <v>666909.41000000015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547105</v>
      </c>
      <c r="D111" s="24" t="s">
        <v>312</v>
      </c>
      <c r="E111" s="95">
        <f>+('DOE25'!L274)+('DOE25'!L293)+('DOE25'!L312)</f>
        <v>113650.53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1328147.7999999998</v>
      </c>
      <c r="D112" s="24" t="s">
        <v>312</v>
      </c>
      <c r="E112" s="95">
        <f>+('DOE25'!L275)+('DOE25'!L294)+('DOE25'!L313)</f>
        <v>188846.74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1706848.46</v>
      </c>
      <c r="D113" s="24" t="s">
        <v>312</v>
      </c>
      <c r="E113" s="95">
        <f>+('DOE25'!L276)+('DOE25'!L295)+('DOE25'!L314)</f>
        <v>93047.51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576500.60999999987</v>
      </c>
      <c r="D114" s="24" t="s">
        <v>312</v>
      </c>
      <c r="E114" s="95">
        <f>+('DOE25'!L277)+('DOE25'!L296)+('DOE25'!L315)</f>
        <v>1310.19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3355759.5</v>
      </c>
      <c r="D115" s="24" t="s">
        <v>312</v>
      </c>
      <c r="E115" s="95">
        <f>+('DOE25'!L278)+('DOE25'!L297)+('DOE25'!L316)</f>
        <v>62286.79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730036.37</v>
      </c>
      <c r="D116" s="24" t="s">
        <v>312</v>
      </c>
      <c r="E116" s="95">
        <f>+('DOE25'!L279)+('DOE25'!L298)+('DOE25'!L317)</f>
        <v>13655.490000000002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786426.07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811271.98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12899992.08</v>
      </c>
      <c r="D120" s="86">
        <f>SUM(D110:D119)</f>
        <v>811271.98</v>
      </c>
      <c r="E120" s="86">
        <f>SUM(E110:E119)</f>
        <v>1139706.6600000001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164216.16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260322.47999999998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-260322.47999999998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164216.16</v>
      </c>
    </row>
    <row r="137" spans="1:9" ht="12.75" thickTop="1" thickBot="1" x14ac:dyDescent="0.25">
      <c r="A137" s="33" t="s">
        <v>267</v>
      </c>
      <c r="C137" s="86">
        <f>(C107+C120+C136)</f>
        <v>35841880.049999997</v>
      </c>
      <c r="D137" s="86">
        <f>(D107+D120+D136)</f>
        <v>811271.98</v>
      </c>
      <c r="E137" s="86">
        <f>(E107+E120+E136)</f>
        <v>4557630.4799999995</v>
      </c>
      <c r="F137" s="86">
        <f>(F107+F120+F136)</f>
        <v>0</v>
      </c>
      <c r="G137" s="86">
        <f>(G107+G120+G136)</f>
        <v>164216.16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6D79-981A-4CD5-B07A-71565DAD813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Portsmouth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15006</v>
      </c>
    </row>
    <row r="5" spans="1:4" x14ac:dyDescent="0.2">
      <c r="B5" t="s">
        <v>735</v>
      </c>
      <c r="C5" s="179">
        <f>IF('DOE25'!G655+'DOE25'!G660=0,0,ROUND('DOE25'!G662,0))</f>
        <v>13716</v>
      </c>
    </row>
    <row r="6" spans="1:4" x14ac:dyDescent="0.2">
      <c r="B6" t="s">
        <v>62</v>
      </c>
      <c r="C6" s="179">
        <f>IF('DOE25'!H655+'DOE25'!H660=0,0,ROUND('DOE25'!H662,0))</f>
        <v>14710</v>
      </c>
    </row>
    <row r="7" spans="1:4" x14ac:dyDescent="0.2">
      <c r="B7" t="s">
        <v>736</v>
      </c>
      <c r="C7" s="179">
        <f>IF('DOE25'!I655+'DOE25'!I660=0,0,ROUND('DOE25'!I662,0))</f>
        <v>14621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16537459</v>
      </c>
      <c r="D10" s="182">
        <f>ROUND((C10/$C$28)*100,1)</f>
        <v>40.6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7907235</v>
      </c>
      <c r="D11" s="182">
        <f>ROUND((C11/$C$28)*100,1)</f>
        <v>19.399999999999999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1129991</v>
      </c>
      <c r="D12" s="182">
        <f>ROUND((C12/$C$28)*100,1)</f>
        <v>2.8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728993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4536078</v>
      </c>
      <c r="D15" s="182">
        <f t="shared" ref="D15:D27" si="0">ROUND((C15/$C$28)*100,1)</f>
        <v>11.1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660756</v>
      </c>
      <c r="D16" s="182">
        <f t="shared" si="0"/>
        <v>1.6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2303421</v>
      </c>
      <c r="D17" s="182">
        <f t="shared" si="0"/>
        <v>5.7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1799896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577811</v>
      </c>
      <c r="D19" s="182">
        <f t="shared" si="0"/>
        <v>1.4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3418046</v>
      </c>
      <c r="D20" s="182">
        <f t="shared" si="0"/>
        <v>8.4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743692</v>
      </c>
      <c r="D21" s="182">
        <f t="shared" si="0"/>
        <v>1.8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56134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331520.37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40731032.369999997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40731032.369999997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21128589</v>
      </c>
      <c r="D35" s="182">
        <f t="shared" ref="D35:D40" si="1">ROUND((C35/$C$41)*100,1)</f>
        <v>51.4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7166274.6700000018</v>
      </c>
      <c r="D36" s="182">
        <f t="shared" si="1"/>
        <v>17.399999999999999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8607932</v>
      </c>
      <c r="D37" s="182">
        <f t="shared" si="1"/>
        <v>20.9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1280264</v>
      </c>
      <c r="D38" s="182">
        <f t="shared" si="1"/>
        <v>3.1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2957849</v>
      </c>
      <c r="D39" s="182">
        <f t="shared" si="1"/>
        <v>7.2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41140908.670000002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7C9B-3453-40C7-8D8C-45C9D95623CF}">
  <sheetPr>
    <tabColor indexed="17"/>
  </sheetPr>
  <dimension ref="A1:IV90"/>
  <sheetViews>
    <sheetView workbookViewId="0">
      <pane ySplit="3" topLeftCell="A4" activePane="bottomLeft" state="frozen"/>
      <selection pane="bottomLeft" activeCell="A6" sqref="A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Portsmouth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17</v>
      </c>
      <c r="C6" s="280" t="s">
        <v>898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2010-11-08T18:42:19Z</cp:lastPrinted>
  <dcterms:created xsi:type="dcterms:W3CDTF">1997-12-04T19:04:30Z</dcterms:created>
  <dcterms:modified xsi:type="dcterms:W3CDTF">2025-01-09T20:25:57Z</dcterms:modified>
</cp:coreProperties>
</file>