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695D2E7-BCAA-4C6E-A994-68B8BD946E4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84CAD26-0174-43E6-8273-E550B562E30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2" i="1" l="1"/>
  <c r="G458" i="1"/>
  <c r="K513" i="1"/>
  <c r="J513" i="1"/>
  <c r="I513" i="1"/>
  <c r="H513" i="1"/>
  <c r="G513" i="1"/>
  <c r="L513" i="1" s="1"/>
  <c r="F541" i="1" s="1"/>
  <c r="F513" i="1"/>
  <c r="K512" i="1"/>
  <c r="J512" i="1"/>
  <c r="I512" i="1"/>
  <c r="I514" i="1" s="1"/>
  <c r="I535" i="1" s="1"/>
  <c r="H512" i="1"/>
  <c r="H514" i="1" s="1"/>
  <c r="H535" i="1" s="1"/>
  <c r="G512" i="1"/>
  <c r="F512" i="1"/>
  <c r="K511" i="1"/>
  <c r="J511" i="1"/>
  <c r="I511" i="1"/>
  <c r="H511" i="1"/>
  <c r="G511" i="1"/>
  <c r="L511" i="1" s="1"/>
  <c r="F511" i="1"/>
  <c r="I518" i="1"/>
  <c r="I517" i="1"/>
  <c r="I516" i="1"/>
  <c r="I519" i="1" s="1"/>
  <c r="H518" i="1"/>
  <c r="L518" i="1" s="1"/>
  <c r="G541" i="1" s="1"/>
  <c r="H517" i="1"/>
  <c r="H516" i="1"/>
  <c r="G517" i="1"/>
  <c r="F517" i="1"/>
  <c r="G516" i="1"/>
  <c r="F516" i="1"/>
  <c r="F519" i="1" s="1"/>
  <c r="I235" i="1"/>
  <c r="L235" i="1" s="1"/>
  <c r="H235" i="1"/>
  <c r="G235" i="1"/>
  <c r="F235" i="1"/>
  <c r="I217" i="1"/>
  <c r="H217" i="1"/>
  <c r="L217" i="1" s="1"/>
  <c r="G217" i="1"/>
  <c r="F217" i="1"/>
  <c r="I199" i="1"/>
  <c r="H199" i="1"/>
  <c r="G199" i="1"/>
  <c r="F199" i="1"/>
  <c r="J231" i="1"/>
  <c r="I231" i="1"/>
  <c r="H231" i="1"/>
  <c r="G231" i="1"/>
  <c r="F231" i="1"/>
  <c r="L231" i="1" s="1"/>
  <c r="J213" i="1"/>
  <c r="F7" i="13" s="1"/>
  <c r="I213" i="1"/>
  <c r="H213" i="1"/>
  <c r="G213" i="1"/>
  <c r="F213" i="1"/>
  <c r="J195" i="1"/>
  <c r="I195" i="1"/>
  <c r="H195" i="1"/>
  <c r="G195" i="1"/>
  <c r="F195" i="1"/>
  <c r="I230" i="1"/>
  <c r="H230" i="1"/>
  <c r="G230" i="1"/>
  <c r="L230" i="1" s="1"/>
  <c r="F230" i="1"/>
  <c r="I212" i="1"/>
  <c r="G212" i="1"/>
  <c r="F212" i="1"/>
  <c r="L212" i="1" s="1"/>
  <c r="I194" i="1"/>
  <c r="H194" i="1"/>
  <c r="G194" i="1"/>
  <c r="F194" i="1"/>
  <c r="J226" i="1"/>
  <c r="I226" i="1"/>
  <c r="H226" i="1"/>
  <c r="G226" i="1"/>
  <c r="L226" i="1" s="1"/>
  <c r="F226" i="1"/>
  <c r="I208" i="1"/>
  <c r="H208" i="1"/>
  <c r="G208" i="1"/>
  <c r="G221" i="1" s="1"/>
  <c r="F208" i="1"/>
  <c r="L208" i="1" s="1"/>
  <c r="J190" i="1"/>
  <c r="I190" i="1"/>
  <c r="L190" i="1" s="1"/>
  <c r="H190" i="1"/>
  <c r="G190" i="1"/>
  <c r="F190" i="1"/>
  <c r="H225" i="1"/>
  <c r="H239" i="1" s="1"/>
  <c r="G225" i="1"/>
  <c r="G239" i="1" s="1"/>
  <c r="F225" i="1"/>
  <c r="H207" i="1"/>
  <c r="G207" i="1"/>
  <c r="F207" i="1"/>
  <c r="L207" i="1" s="1"/>
  <c r="G189" i="1"/>
  <c r="C9" i="12" s="1"/>
  <c r="F189" i="1"/>
  <c r="F203" i="1" s="1"/>
  <c r="H312" i="1"/>
  <c r="L312" i="1" s="1"/>
  <c r="G312" i="1"/>
  <c r="F312" i="1"/>
  <c r="I293" i="1"/>
  <c r="H293" i="1"/>
  <c r="G293" i="1"/>
  <c r="L293" i="1" s="1"/>
  <c r="E111" i="2" s="1"/>
  <c r="F293" i="1"/>
  <c r="J274" i="1"/>
  <c r="H274" i="1"/>
  <c r="G274" i="1"/>
  <c r="F274" i="1"/>
  <c r="G307" i="1"/>
  <c r="F307" i="1"/>
  <c r="L307" i="1" s="1"/>
  <c r="I288" i="1"/>
  <c r="G288" i="1"/>
  <c r="F288" i="1"/>
  <c r="I269" i="1"/>
  <c r="I282" i="1" s="1"/>
  <c r="I330" i="1" s="1"/>
  <c r="I344" i="1" s="1"/>
  <c r="H269" i="1"/>
  <c r="L269" i="1" s="1"/>
  <c r="G269" i="1"/>
  <c r="F269" i="1"/>
  <c r="I287" i="1"/>
  <c r="J594" i="1"/>
  <c r="J595" i="1" s="1"/>
  <c r="I594" i="1"/>
  <c r="I595" i="1" s="1"/>
  <c r="I352" i="1"/>
  <c r="L352" i="1" s="1"/>
  <c r="I351" i="1"/>
  <c r="I350" i="1"/>
  <c r="H236" i="1"/>
  <c r="H218" i="1"/>
  <c r="H200" i="1"/>
  <c r="H203" i="1" s="1"/>
  <c r="J458" i="1"/>
  <c r="H627" i="1" s="1"/>
  <c r="G603" i="1"/>
  <c r="F603" i="1"/>
  <c r="G602" i="1"/>
  <c r="F602" i="1"/>
  <c r="J585" i="1"/>
  <c r="I585" i="1"/>
  <c r="H585" i="1"/>
  <c r="K585" i="1" s="1"/>
  <c r="J584" i="1"/>
  <c r="I584" i="1"/>
  <c r="J581" i="1"/>
  <c r="J583" i="1"/>
  <c r="K583" i="1" s="1"/>
  <c r="I581" i="1"/>
  <c r="I588" i="1" s="1"/>
  <c r="H640" i="1" s="1"/>
  <c r="J640" i="1" s="1"/>
  <c r="H581" i="1"/>
  <c r="J311" i="1"/>
  <c r="J306" i="1"/>
  <c r="G306" i="1"/>
  <c r="G320" i="1" s="1"/>
  <c r="F306" i="1"/>
  <c r="F320" i="1" s="1"/>
  <c r="J292" i="1"/>
  <c r="J287" i="1"/>
  <c r="L287" i="1" s="1"/>
  <c r="G287" i="1"/>
  <c r="F287" i="1"/>
  <c r="J276" i="1"/>
  <c r="G271" i="1"/>
  <c r="C36" i="12" s="1"/>
  <c r="F271" i="1"/>
  <c r="F282" i="1" s="1"/>
  <c r="F330" i="1" s="1"/>
  <c r="F344" i="1" s="1"/>
  <c r="G268" i="1"/>
  <c r="F268" i="1"/>
  <c r="K336" i="1"/>
  <c r="H273" i="1"/>
  <c r="J307" i="1"/>
  <c r="J320" i="1" s="1"/>
  <c r="J288" i="1"/>
  <c r="L288" i="1" s="1"/>
  <c r="J269" i="1"/>
  <c r="H287" i="1"/>
  <c r="H268" i="1"/>
  <c r="K233" i="1"/>
  <c r="I233" i="1"/>
  <c r="I239" i="1" s="1"/>
  <c r="H233" i="1"/>
  <c r="L233" i="1" s="1"/>
  <c r="G233" i="1"/>
  <c r="F233" i="1"/>
  <c r="K231" i="1"/>
  <c r="K230" i="1"/>
  <c r="J230" i="1"/>
  <c r="F6" i="13" s="1"/>
  <c r="K228" i="1"/>
  <c r="G5" i="13" s="1"/>
  <c r="G33" i="13" s="1"/>
  <c r="J228" i="1"/>
  <c r="I228" i="1"/>
  <c r="H228" i="1"/>
  <c r="G228" i="1"/>
  <c r="F228" i="1"/>
  <c r="F239" i="1" s="1"/>
  <c r="H227" i="1"/>
  <c r="L227" i="1" s="1"/>
  <c r="C12" i="10" s="1"/>
  <c r="J225" i="1"/>
  <c r="I225" i="1"/>
  <c r="K215" i="1"/>
  <c r="I215" i="1"/>
  <c r="H215" i="1"/>
  <c r="H221" i="1" s="1"/>
  <c r="G215" i="1"/>
  <c r="F215" i="1"/>
  <c r="L215" i="1" s="1"/>
  <c r="J212" i="1"/>
  <c r="H210" i="1"/>
  <c r="G210" i="1"/>
  <c r="F210" i="1"/>
  <c r="B36" i="12" s="1"/>
  <c r="A40" i="12" s="1"/>
  <c r="J207" i="1"/>
  <c r="I207" i="1"/>
  <c r="K197" i="1"/>
  <c r="I197" i="1"/>
  <c r="H197" i="1"/>
  <c r="G197" i="1"/>
  <c r="F197" i="1"/>
  <c r="K194" i="1"/>
  <c r="G192" i="1"/>
  <c r="F192" i="1"/>
  <c r="K189" i="1"/>
  <c r="J189" i="1"/>
  <c r="J203" i="1" s="1"/>
  <c r="J249" i="1" s="1"/>
  <c r="I189" i="1"/>
  <c r="I203" i="1" s="1"/>
  <c r="I249" i="1" s="1"/>
  <c r="I263" i="1" s="1"/>
  <c r="F30" i="1"/>
  <c r="F29" i="1"/>
  <c r="F9" i="1"/>
  <c r="H151" i="1"/>
  <c r="H154" i="1" s="1"/>
  <c r="G392" i="1"/>
  <c r="G393" i="1" s="1"/>
  <c r="G400" i="1" s="1"/>
  <c r="H635" i="1" s="1"/>
  <c r="H392" i="1"/>
  <c r="G431" i="1"/>
  <c r="G438" i="1" s="1"/>
  <c r="G630" i="1" s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E13" i="13" s="1"/>
  <c r="C13" i="13" s="1"/>
  <c r="L216" i="1"/>
  <c r="L234" i="1"/>
  <c r="F16" i="13"/>
  <c r="E16" i="13" s="1"/>
  <c r="C16" i="13" s="1"/>
  <c r="G16" i="13"/>
  <c r="L201" i="1"/>
  <c r="L219" i="1"/>
  <c r="L237" i="1"/>
  <c r="L191" i="1"/>
  <c r="L192" i="1"/>
  <c r="L209" i="1"/>
  <c r="G6" i="13"/>
  <c r="L194" i="1"/>
  <c r="G7" i="13"/>
  <c r="L195" i="1"/>
  <c r="F12" i="13"/>
  <c r="G12" i="13"/>
  <c r="L197" i="1"/>
  <c r="F14" i="13"/>
  <c r="G14" i="13"/>
  <c r="L199" i="1"/>
  <c r="F15" i="13"/>
  <c r="G15" i="13"/>
  <c r="L200" i="1"/>
  <c r="D15" i="13" s="1"/>
  <c r="C15" i="13" s="1"/>
  <c r="L218" i="1"/>
  <c r="L236" i="1"/>
  <c r="F17" i="13"/>
  <c r="D17" i="13" s="1"/>
  <c r="C17" i="13" s="1"/>
  <c r="G17" i="13"/>
  <c r="L243" i="1"/>
  <c r="C24" i="10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L351" i="1"/>
  <c r="I359" i="1"/>
  <c r="J282" i="1"/>
  <c r="J301" i="1"/>
  <c r="K282" i="1"/>
  <c r="K301" i="1"/>
  <c r="G31" i="13" s="1"/>
  <c r="K320" i="1"/>
  <c r="L268" i="1"/>
  <c r="L270" i="1"/>
  <c r="L273" i="1"/>
  <c r="E110" i="2" s="1"/>
  <c r="L274" i="1"/>
  <c r="L275" i="1"/>
  <c r="L276" i="1"/>
  <c r="L277" i="1"/>
  <c r="L278" i="1"/>
  <c r="E115" i="2" s="1"/>
  <c r="L279" i="1"/>
  <c r="E116" i="2" s="1"/>
  <c r="L280" i="1"/>
  <c r="L289" i="1"/>
  <c r="L290" i="1"/>
  <c r="L292" i="1"/>
  <c r="L294" i="1"/>
  <c r="L295" i="1"/>
  <c r="L296" i="1"/>
  <c r="L297" i="1"/>
  <c r="L298" i="1"/>
  <c r="L299" i="1"/>
  <c r="L308" i="1"/>
  <c r="E103" i="2" s="1"/>
  <c r="L309" i="1"/>
  <c r="L311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C25" i="10" s="1"/>
  <c r="L333" i="1"/>
  <c r="E123" i="2" s="1"/>
  <c r="L334" i="1"/>
  <c r="L247" i="1"/>
  <c r="F22" i="13" s="1"/>
  <c r="C22" i="13" s="1"/>
  <c r="L328" i="1"/>
  <c r="E122" i="2" s="1"/>
  <c r="C11" i="13"/>
  <c r="C10" i="13"/>
  <c r="C9" i="13"/>
  <c r="L353" i="1"/>
  <c r="B4" i="12"/>
  <c r="B40" i="12"/>
  <c r="C40" i="12"/>
  <c r="B27" i="12"/>
  <c r="A31" i="12" s="1"/>
  <c r="C27" i="12"/>
  <c r="B31" i="12"/>
  <c r="C31" i="12"/>
  <c r="B9" i="12"/>
  <c r="A13" i="12" s="1"/>
  <c r="B13" i="12"/>
  <c r="C13" i="12"/>
  <c r="B18" i="12"/>
  <c r="B22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C35" i="10" s="1"/>
  <c r="G52" i="1"/>
  <c r="H52" i="1"/>
  <c r="I52" i="1"/>
  <c r="F71" i="1"/>
  <c r="F86" i="1"/>
  <c r="C50" i="2" s="1"/>
  <c r="C54" i="2" s="1"/>
  <c r="F103" i="1"/>
  <c r="G103" i="1"/>
  <c r="G104" i="1"/>
  <c r="H71" i="1"/>
  <c r="H104" i="1" s="1"/>
  <c r="H86" i="1"/>
  <c r="E50" i="2" s="1"/>
  <c r="H103" i="1"/>
  <c r="I103" i="1"/>
  <c r="I104" i="1"/>
  <c r="J103" i="1"/>
  <c r="J104" i="1"/>
  <c r="C37" i="10"/>
  <c r="F113" i="1"/>
  <c r="F128" i="1"/>
  <c r="F132" i="1"/>
  <c r="G113" i="1"/>
  <c r="G132" i="1" s="1"/>
  <c r="G128" i="1"/>
  <c r="H113" i="1"/>
  <c r="H128" i="1"/>
  <c r="H132" i="1" s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E77" i="2" s="1"/>
  <c r="I139" i="1"/>
  <c r="I154" i="1"/>
  <c r="I161" i="1"/>
  <c r="C19" i="10"/>
  <c r="L242" i="1"/>
  <c r="L324" i="1"/>
  <c r="C23" i="10"/>
  <c r="L246" i="1"/>
  <c r="L260" i="1"/>
  <c r="L261" i="1"/>
  <c r="C26" i="10" s="1"/>
  <c r="L341" i="1"/>
  <c r="E134" i="2" s="1"/>
  <c r="L342" i="1"/>
  <c r="I655" i="1"/>
  <c r="I660" i="1"/>
  <c r="G652" i="1"/>
  <c r="H652" i="1"/>
  <c r="I659" i="1"/>
  <c r="C42" i="10"/>
  <c r="C32" i="10"/>
  <c r="L366" i="1"/>
  <c r="L367" i="1"/>
  <c r="L368" i="1"/>
  <c r="L369" i="1"/>
  <c r="F122" i="2" s="1"/>
  <c r="F136" i="2" s="1"/>
  <c r="L370" i="1"/>
  <c r="L371" i="1"/>
  <c r="L372" i="1"/>
  <c r="B2" i="10"/>
  <c r="L336" i="1"/>
  <c r="L337" i="1"/>
  <c r="E127" i="2" s="1"/>
  <c r="L338" i="1"/>
  <c r="L339" i="1"/>
  <c r="K343" i="1"/>
  <c r="L517" i="1"/>
  <c r="G540" i="1" s="1"/>
  <c r="L521" i="1"/>
  <c r="H539" i="1"/>
  <c r="H542" i="1" s="1"/>
  <c r="L522" i="1"/>
  <c r="H540" i="1" s="1"/>
  <c r="L523" i="1"/>
  <c r="H541" i="1"/>
  <c r="L526" i="1"/>
  <c r="I539" i="1" s="1"/>
  <c r="L527" i="1"/>
  <c r="I540" i="1" s="1"/>
  <c r="L528" i="1"/>
  <c r="I541" i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G32" i="2" s="1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C34" i="2"/>
  <c r="C42" i="2" s="1"/>
  <c r="C43" i="2" s="1"/>
  <c r="D34" i="2"/>
  <c r="D42" i="2" s="1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E42" i="2" s="1"/>
  <c r="F40" i="2"/>
  <c r="I449" i="1"/>
  <c r="J41" i="1"/>
  <c r="G40" i="2"/>
  <c r="C41" i="2"/>
  <c r="D41" i="2"/>
  <c r="E41" i="2"/>
  <c r="F41" i="2"/>
  <c r="F42" i="2"/>
  <c r="F43" i="2" s="1"/>
  <c r="D48" i="2"/>
  <c r="E48" i="2"/>
  <c r="F48" i="2"/>
  <c r="C49" i="2"/>
  <c r="E49" i="2"/>
  <c r="E54" i="2" s="1"/>
  <c r="E55" i="2" s="1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F80" i="2"/>
  <c r="C81" i="2"/>
  <c r="C83" i="2" s="1"/>
  <c r="D81" i="2"/>
  <c r="E81" i="2"/>
  <c r="F81" i="2"/>
  <c r="C82" i="2"/>
  <c r="C85" i="2"/>
  <c r="F85" i="2"/>
  <c r="C86" i="2"/>
  <c r="C95" i="2" s="1"/>
  <c r="F86" i="2"/>
  <c r="F95" i="2" s="1"/>
  <c r="D88" i="2"/>
  <c r="E88" i="2"/>
  <c r="F88" i="2"/>
  <c r="G88" i="2"/>
  <c r="G95" i="2" s="1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E105" i="2"/>
  <c r="D107" i="2"/>
  <c r="F107" i="2"/>
  <c r="G107" i="2"/>
  <c r="G137" i="2" s="1"/>
  <c r="E112" i="2"/>
  <c r="E113" i="2"/>
  <c r="C114" i="2"/>
  <c r="E114" i="2"/>
  <c r="C117" i="2"/>
  <c r="E117" i="2"/>
  <c r="F120" i="2"/>
  <c r="G120" i="2"/>
  <c r="D126" i="2"/>
  <c r="E126" i="2"/>
  <c r="F126" i="2"/>
  <c r="K411" i="1"/>
  <c r="K419" i="1"/>
  <c r="K425" i="1"/>
  <c r="K426" i="1"/>
  <c r="G126" i="2"/>
  <c r="G136" i="2" s="1"/>
  <c r="L255" i="1"/>
  <c r="C127" i="2" s="1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/>
  <c r="I493" i="1"/>
  <c r="E156" i="2"/>
  <c r="J493" i="1"/>
  <c r="F156" i="2" s="1"/>
  <c r="F19" i="1"/>
  <c r="G19" i="1"/>
  <c r="H19" i="1"/>
  <c r="G609" i="1" s="1"/>
  <c r="I19" i="1"/>
  <c r="G610" i="1" s="1"/>
  <c r="F33" i="1"/>
  <c r="G33" i="1"/>
  <c r="H33" i="1"/>
  <c r="I33" i="1"/>
  <c r="I44" i="1" s="1"/>
  <c r="H610" i="1" s="1"/>
  <c r="F43" i="1"/>
  <c r="G612" i="1" s="1"/>
  <c r="J612" i="1" s="1"/>
  <c r="G43" i="1"/>
  <c r="G44" i="1" s="1"/>
  <c r="H608" i="1" s="1"/>
  <c r="J608" i="1" s="1"/>
  <c r="H43" i="1"/>
  <c r="H44" i="1" s="1"/>
  <c r="H609" i="1" s="1"/>
  <c r="I43" i="1"/>
  <c r="F44" i="1"/>
  <c r="H607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K203" i="1"/>
  <c r="K249" i="1" s="1"/>
  <c r="K263" i="1" s="1"/>
  <c r="I221" i="1"/>
  <c r="J221" i="1"/>
  <c r="K221" i="1"/>
  <c r="J239" i="1"/>
  <c r="K239" i="1"/>
  <c r="F248" i="1"/>
  <c r="L248" i="1" s="1"/>
  <c r="G248" i="1"/>
  <c r="H248" i="1"/>
  <c r="I248" i="1"/>
  <c r="J248" i="1"/>
  <c r="K248" i="1"/>
  <c r="F301" i="1"/>
  <c r="H301" i="1"/>
  <c r="I301" i="1"/>
  <c r="H320" i="1"/>
  <c r="I320" i="1"/>
  <c r="F329" i="1"/>
  <c r="G329" i="1"/>
  <c r="H329" i="1"/>
  <c r="I329" i="1"/>
  <c r="J329" i="1"/>
  <c r="K329" i="1"/>
  <c r="K330" i="1" s="1"/>
  <c r="K344" i="1" s="1"/>
  <c r="L329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H393" i="1"/>
  <c r="I393" i="1"/>
  <c r="I400" i="1" s="1"/>
  <c r="F399" i="1"/>
  <c r="F400" i="1" s="1"/>
  <c r="H633" i="1" s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F460" i="1"/>
  <c r="F466" i="1" s="1"/>
  <c r="H612" i="1" s="1"/>
  <c r="G460" i="1"/>
  <c r="G466" i="1" s="1"/>
  <c r="H613" i="1" s="1"/>
  <c r="H460" i="1"/>
  <c r="I460" i="1"/>
  <c r="F464" i="1"/>
  <c r="G464" i="1"/>
  <c r="H464" i="1"/>
  <c r="I464" i="1"/>
  <c r="J464" i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J514" i="1"/>
  <c r="K514" i="1"/>
  <c r="G519" i="1"/>
  <c r="H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J535" i="1" s="1"/>
  <c r="K534" i="1"/>
  <c r="L547" i="1"/>
  <c r="L548" i="1"/>
  <c r="L549" i="1"/>
  <c r="L550" i="1" s="1"/>
  <c r="F550" i="1"/>
  <c r="F561" i="1" s="1"/>
  <c r="G550" i="1"/>
  <c r="H550" i="1"/>
  <c r="I550" i="1"/>
  <c r="J550" i="1"/>
  <c r="K550" i="1"/>
  <c r="K561" i="1" s="1"/>
  <c r="L552" i="1"/>
  <c r="L555" i="1" s="1"/>
  <c r="L553" i="1"/>
  <c r="L554" i="1"/>
  <c r="F555" i="1"/>
  <c r="G555" i="1"/>
  <c r="G561" i="1" s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4" i="1"/>
  <c r="K586" i="1"/>
  <c r="K587" i="1"/>
  <c r="H588" i="1"/>
  <c r="H639" i="1" s="1"/>
  <c r="K592" i="1"/>
  <c r="K593" i="1"/>
  <c r="K595" i="1" s="1"/>
  <c r="G638" i="1" s="1"/>
  <c r="K594" i="1"/>
  <c r="H595" i="1"/>
  <c r="F604" i="1"/>
  <c r="G604" i="1"/>
  <c r="H604" i="1"/>
  <c r="I604" i="1"/>
  <c r="J604" i="1"/>
  <c r="K604" i="1"/>
  <c r="L604" i="1"/>
  <c r="G607" i="1"/>
  <c r="J607" i="1" s="1"/>
  <c r="G608" i="1"/>
  <c r="G613" i="1"/>
  <c r="J613" i="1" s="1"/>
  <c r="G614" i="1"/>
  <c r="G615" i="1"/>
  <c r="H617" i="1"/>
  <c r="H618" i="1"/>
  <c r="H619" i="1"/>
  <c r="H620" i="1"/>
  <c r="H622" i="1"/>
  <c r="H623" i="1"/>
  <c r="H625" i="1"/>
  <c r="H626" i="1"/>
  <c r="H628" i="1"/>
  <c r="G629" i="1"/>
  <c r="G631" i="1"/>
  <c r="G633" i="1"/>
  <c r="J633" i="1" s="1"/>
  <c r="G634" i="1"/>
  <c r="G635" i="1"/>
  <c r="G640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C25" i="13" l="1"/>
  <c r="H33" i="13"/>
  <c r="D12" i="13"/>
  <c r="C12" i="13" s="1"/>
  <c r="J631" i="1"/>
  <c r="C20" i="10"/>
  <c r="C115" i="2"/>
  <c r="J615" i="1"/>
  <c r="F31" i="13"/>
  <c r="J263" i="1"/>
  <c r="H249" i="1"/>
  <c r="H263" i="1" s="1"/>
  <c r="J629" i="1"/>
  <c r="G153" i="2"/>
  <c r="C39" i="10"/>
  <c r="D96" i="2"/>
  <c r="C38" i="10"/>
  <c r="L400" i="1"/>
  <c r="C130" i="2"/>
  <c r="E102" i="2"/>
  <c r="E73" i="2"/>
  <c r="E43" i="2"/>
  <c r="D43" i="2"/>
  <c r="J542" i="1"/>
  <c r="D119" i="2"/>
  <c r="D120" i="2" s="1"/>
  <c r="D137" i="2" s="1"/>
  <c r="G36" i="2"/>
  <c r="G42" i="2" s="1"/>
  <c r="G43" i="2" s="1"/>
  <c r="J43" i="1"/>
  <c r="J185" i="1"/>
  <c r="J630" i="1"/>
  <c r="E101" i="2"/>
  <c r="E107" i="2" s="1"/>
  <c r="E137" i="2" s="1"/>
  <c r="L301" i="1"/>
  <c r="C102" i="2"/>
  <c r="C11" i="10"/>
  <c r="F539" i="1"/>
  <c r="K541" i="1"/>
  <c r="G96" i="2"/>
  <c r="E120" i="2"/>
  <c r="C15" i="10"/>
  <c r="H651" i="1"/>
  <c r="G651" i="1"/>
  <c r="L354" i="1"/>
  <c r="F651" i="1"/>
  <c r="I651" i="1" s="1"/>
  <c r="F249" i="1"/>
  <c r="F263" i="1" s="1"/>
  <c r="G156" i="2"/>
  <c r="I542" i="1"/>
  <c r="C36" i="10"/>
  <c r="C41" i="10" s="1"/>
  <c r="C133" i="2"/>
  <c r="E136" i="2"/>
  <c r="J624" i="1"/>
  <c r="J641" i="1"/>
  <c r="F137" i="2"/>
  <c r="C13" i="10"/>
  <c r="J610" i="1"/>
  <c r="F96" i="2"/>
  <c r="D14" i="13"/>
  <c r="C14" i="13" s="1"/>
  <c r="C103" i="2"/>
  <c r="J635" i="1"/>
  <c r="L561" i="1"/>
  <c r="J609" i="1"/>
  <c r="J19" i="1"/>
  <c r="G611" i="1" s="1"/>
  <c r="G9" i="2"/>
  <c r="G19" i="2" s="1"/>
  <c r="E83" i="2"/>
  <c r="E96" i="2" s="1"/>
  <c r="H185" i="1"/>
  <c r="G619" i="1" s="1"/>
  <c r="J619" i="1" s="1"/>
  <c r="G639" i="1"/>
  <c r="J639" i="1" s="1"/>
  <c r="G301" i="1"/>
  <c r="L512" i="1"/>
  <c r="F540" i="1" s="1"/>
  <c r="K540" i="1" s="1"/>
  <c r="K493" i="1"/>
  <c r="I438" i="1"/>
  <c r="G632" i="1" s="1"/>
  <c r="E80" i="2"/>
  <c r="L271" i="1"/>
  <c r="E104" i="2" s="1"/>
  <c r="D29" i="13"/>
  <c r="C29" i="13" s="1"/>
  <c r="K581" i="1"/>
  <c r="K588" i="1" s="1"/>
  <c r="G637" i="1" s="1"/>
  <c r="J637" i="1" s="1"/>
  <c r="L374" i="1"/>
  <c r="G626" i="1" s="1"/>
  <c r="J626" i="1" s="1"/>
  <c r="C116" i="2"/>
  <c r="C110" i="2"/>
  <c r="C123" i="2"/>
  <c r="H161" i="1"/>
  <c r="L306" i="1"/>
  <c r="L320" i="1" s="1"/>
  <c r="L189" i="1"/>
  <c r="J588" i="1"/>
  <c r="H641" i="1" s="1"/>
  <c r="H282" i="1"/>
  <c r="H330" i="1" s="1"/>
  <c r="H344" i="1" s="1"/>
  <c r="F221" i="1"/>
  <c r="C124" i="2"/>
  <c r="C29" i="10"/>
  <c r="C21" i="10"/>
  <c r="F104" i="1"/>
  <c r="F185" i="1" s="1"/>
  <c r="G617" i="1" s="1"/>
  <c r="J617" i="1" s="1"/>
  <c r="L228" i="1"/>
  <c r="H637" i="1"/>
  <c r="H621" i="1"/>
  <c r="G282" i="1"/>
  <c r="C122" i="2"/>
  <c r="C48" i="2"/>
  <c r="C55" i="2" s="1"/>
  <c r="C96" i="2" s="1"/>
  <c r="L213" i="1"/>
  <c r="C111" i="2" s="1"/>
  <c r="F5" i="13"/>
  <c r="I450" i="1"/>
  <c r="I451" i="1" s="1"/>
  <c r="H632" i="1" s="1"/>
  <c r="J33" i="1"/>
  <c r="J541" i="1"/>
  <c r="G161" i="1"/>
  <c r="G185" i="1" s="1"/>
  <c r="G618" i="1" s="1"/>
  <c r="J618" i="1" s="1"/>
  <c r="C18" i="12"/>
  <c r="A22" i="12" s="1"/>
  <c r="J330" i="1"/>
  <c r="J344" i="1" s="1"/>
  <c r="C18" i="10"/>
  <c r="L225" i="1"/>
  <c r="L516" i="1"/>
  <c r="C17" i="10"/>
  <c r="L210" i="1"/>
  <c r="C104" i="2" s="1"/>
  <c r="J460" i="1"/>
  <c r="J466" i="1" s="1"/>
  <c r="H616" i="1" s="1"/>
  <c r="G203" i="1"/>
  <c r="G249" i="1" s="1"/>
  <c r="G263" i="1" s="1"/>
  <c r="C113" i="2"/>
  <c r="L343" i="1"/>
  <c r="F652" i="1"/>
  <c r="I652" i="1" s="1"/>
  <c r="D6" i="13"/>
  <c r="C6" i="13" s="1"/>
  <c r="E8" i="13"/>
  <c r="C106" i="2"/>
  <c r="D37" i="10" l="1"/>
  <c r="D40" i="10"/>
  <c r="D35" i="10"/>
  <c r="F33" i="13"/>
  <c r="D5" i="13"/>
  <c r="J632" i="1"/>
  <c r="G616" i="1"/>
  <c r="J44" i="1"/>
  <c r="H611" i="1" s="1"/>
  <c r="E33" i="13"/>
  <c r="D35" i="13" s="1"/>
  <c r="C8" i="13"/>
  <c r="H636" i="1"/>
  <c r="G627" i="1"/>
  <c r="J627" i="1" s="1"/>
  <c r="C16" i="10"/>
  <c r="C120" i="2"/>
  <c r="F542" i="1"/>
  <c r="D36" i="10"/>
  <c r="D38" i="10"/>
  <c r="L514" i="1"/>
  <c r="L535" i="1" s="1"/>
  <c r="D39" i="10"/>
  <c r="G625" i="1"/>
  <c r="J625" i="1" s="1"/>
  <c r="C27" i="10"/>
  <c r="L519" i="1"/>
  <c r="G539" i="1"/>
  <c r="G542" i="1" s="1"/>
  <c r="C136" i="2"/>
  <c r="L203" i="1"/>
  <c r="C101" i="2"/>
  <c r="C107" i="2" s="1"/>
  <c r="C10" i="10"/>
  <c r="L221" i="1"/>
  <c r="G650" i="1" s="1"/>
  <c r="G654" i="1" s="1"/>
  <c r="L282" i="1"/>
  <c r="H638" i="1"/>
  <c r="J638" i="1" s="1"/>
  <c r="J611" i="1"/>
  <c r="L239" i="1"/>
  <c r="H650" i="1" s="1"/>
  <c r="H654" i="1" s="1"/>
  <c r="G330" i="1"/>
  <c r="G344" i="1" s="1"/>
  <c r="D7" i="13"/>
  <c r="C7" i="13" s="1"/>
  <c r="G636" i="1"/>
  <c r="J636" i="1" s="1"/>
  <c r="G621" i="1"/>
  <c r="J621" i="1" s="1"/>
  <c r="G662" i="1" l="1"/>
  <c r="C5" i="10" s="1"/>
  <c r="G657" i="1"/>
  <c r="D31" i="13"/>
  <c r="C31" i="13" s="1"/>
  <c r="L330" i="1"/>
  <c r="L344" i="1" s="1"/>
  <c r="G623" i="1" s="1"/>
  <c r="J623" i="1" s="1"/>
  <c r="D10" i="10"/>
  <c r="C28" i="10"/>
  <c r="C137" i="2"/>
  <c r="J616" i="1"/>
  <c r="K539" i="1"/>
  <c r="K542" i="1" s="1"/>
  <c r="C5" i="13"/>
  <c r="F650" i="1"/>
  <c r="L249" i="1"/>
  <c r="L263" i="1" s="1"/>
  <c r="G622" i="1" s="1"/>
  <c r="J622" i="1" s="1"/>
  <c r="D27" i="10"/>
  <c r="D16" i="10"/>
  <c r="H662" i="1"/>
  <c r="C6" i="10" s="1"/>
  <c r="H657" i="1"/>
  <c r="D41" i="10"/>
  <c r="D33" i="13" l="1"/>
  <c r="D36" i="13" s="1"/>
  <c r="H646" i="1"/>
  <c r="D22" i="10"/>
  <c r="D19" i="10"/>
  <c r="C30" i="10"/>
  <c r="D25" i="10"/>
  <c r="D12" i="10"/>
  <c r="D28" i="10" s="1"/>
  <c r="D26" i="10"/>
  <c r="D24" i="10"/>
  <c r="D23" i="10"/>
  <c r="D13" i="10"/>
  <c r="D17" i="10"/>
  <c r="D11" i="10"/>
  <c r="D18" i="10"/>
  <c r="D21" i="10"/>
  <c r="D20" i="10"/>
  <c r="D15" i="10"/>
  <c r="F654" i="1"/>
  <c r="I650" i="1"/>
  <c r="I654" i="1" s="1"/>
  <c r="I657" i="1" l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00F1C2E-DFB8-4DCE-AAC4-16EF81F3EB3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EA3D18D-48AE-4E69-A64A-730AEDB5030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C444E3A-EA9B-4E57-96EA-0B28F8E9FCB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BA46854-1129-4A27-BB3E-D26F936BA48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568CE66-6966-415F-8FB1-D291D87F390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6373388-0B6B-49CC-8D07-8546D93715A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821BE97-4C6F-40DB-8C76-91FFC2D09D5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D44EECA-B129-4919-826C-FDE39F920B3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C917FC7-FA09-4337-B4ED-CFDBEA4B912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8E9CFDC-BFEA-4B7B-9887-2C2AF911910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ACA045E-190E-4A11-9A74-83DE9B2C15D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404C550-1303-493F-A1F0-47A54C0C81C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<sst xmlns="http://schemas.openxmlformats.org/spreadsheetml/2006/main" count="3889" uniqueCount="908">
  <si>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</si>
  <si>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</si>
  <si>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</si>
  <si>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</si>
  <si>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</si>
  <si>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</si>
  <si>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</si>
  <si>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</si>
  <si>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</si>
  <si>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</si>
  <si>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</si>
  <si>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</si>
  <si>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</si>
  <si>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</si>
  <si>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</si>
  <si>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</si>
  <si>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</si>
  <si>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</si>
  <si>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</si>
  <si>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</si>
  <si>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</si>
  <si>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</si>
  <si>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</si>
  <si>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</si>
  <si>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</si>
  <si>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</si>
  <si>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</si>
  <si>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</si>
  <si>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</si>
  <si>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</si>
  <si>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</si>
  <si>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</si>
  <si>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</si>
  <si>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</si>
  <si>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</si>
  <si>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</si>
  <si>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</si>
  <si>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</si>
  <si>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</si>
  <si>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</si>
  <si>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</si>
  <si>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</si>
  <si>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</si>
  <si>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</si>
  <si>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</si>
  <si>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</si>
  <si>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</si>
  <si>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</si>
  <si>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</si>
  <si>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</si>
  <si>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</si>
  <si>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</si>
  <si>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</si>
  <si>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</si>
  <si>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</si>
  <si>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</si>
  <si>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</si>
  <si>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</si>
  <si>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</si>
  <si>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</si>
  <si>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</si>
  <si>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</si>
  <si>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</si>
  <si>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</si>
  <si>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</si>
  <si>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</si>
  <si>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</si>
  <si>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</si>
  <si>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</si>
  <si>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</si>
  <si>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</si>
  <si>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</si>
  <si>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</si>
  <si>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</si>
  <si>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</si>
  <si>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</si>
  <si>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</si>
  <si>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</si>
  <si>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</si>
  <si>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</si>
  <si>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</si>
  <si>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</si>
  <si>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</si>
  <si>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</si>
  <si>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</si>
  <si>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</si>
  <si>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</si>
  <si>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</si>
  <si>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</si>
  <si>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</si>
  <si>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</si>
  <si>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</si>
  <si>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</si>
  <si>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</si>
  <si>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</si>
  <si>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</si>
  <si>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</si>
  <si>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</si>
  <si>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</si>
  <si>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</si>
  <si>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</si>
  <si>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</si>
  <si>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</si>
  <si>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</si>
  <si>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</si>
  <si>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</si>
  <si>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</si>
  <si>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</si>
  <si>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</si>
  <si>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</si>
  <si>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</si>
  <si>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</si>
  <si>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</si>
  <si>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</si>
  <si>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</si>
  <si>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</si>
  <si>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</si>
  <si>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</si>
  <si>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</si>
  <si>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</si>
  <si>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</si>
  <si>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</si>
  <si>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</si>
  <si>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</si>
  <si>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</si>
  <si>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</si>
  <si>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</si>
  <si>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</si>
  <si>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</si>
  <si>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</si>
  <si>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</si>
  <si>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</si>
  <si>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</si>
  <si>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</si>
  <si>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</si>
  <si>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</si>
  <si>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</si>
  <si>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</si>
  <si>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</si>
  <si>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</si>
  <si>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</si>
  <si>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</si>
  <si>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</si>
  <si>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</si>
  <si>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</si>
  <si>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</si>
  <si>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</si>
  <si>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</si>
  <si>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</si>
  <si>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</si>
  <si>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</si>
  <si>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</si>
  <si>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</si>
  <si>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</si>
  <si>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</si>
  <si>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</si>
  <si>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</si>
  <si>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</si>
  <si>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</si>
  <si>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</si>
  <si>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</si>
  <si>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</si>
  <si>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</si>
  <si>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</si>
  <si>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</si>
  <si>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</si>
  <si>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</si>
  <si>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</si>
  <si>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</si>
  <si>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</si>
  <si>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</si>
  <si>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</si>
  <si>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</si>
  <si>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</si>
  <si>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</si>
  <si>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</si>
  <si>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</si>
  <si>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</si>
  <si>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</si>
  <si>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</si>
  <si>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</si>
  <si>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</si>
  <si>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</si>
  <si>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</si>
  <si>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</si>
  <si>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</si>
  <si>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</si>
  <si>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</si>
  <si>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</si>
  <si>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</si>
  <si>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</si>
  <si>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</si>
  <si>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</si>
  <si>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</si>
  <si>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</si>
  <si>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</si>
  <si>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</si>
  <si>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</si>
  <si>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</si>
  <si>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</si>
  <si>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</si>
  <si>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</si>
  <si>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</si>
  <si>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</si>
  <si>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</si>
  <si>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</si>
  <si>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</si>
  <si>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</si>
  <si>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</si>
  <si>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</si>
  <si>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</si>
  <si>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</si>
  <si>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</si>
  <si>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</si>
  <si>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</si>
  <si>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</si>
  <si>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</si>
  <si>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</si>
  <si>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</si>
  <si>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</si>
  <si>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</si>
  <si>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</si>
  <si>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</si>
  <si>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</si>
  <si>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</si>
  <si>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</si>
  <si>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</si>
  <si>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</si>
  <si>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</si>
  <si>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</si>
  <si>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</si>
  <si>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</si>
  <si>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</si>
  <si>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</si>
  <si>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</si>
  <si>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</si>
  <si>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</si>
  <si>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</si>
  <si>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</si>
  <si>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</si>
  <si>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</si>
  <si>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</si>
  <si>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</si>
  <si>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</si>
  <si>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</si>
  <si>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</si>
  <si>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</si>
  <si>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</si>
  <si>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</si>
  <si>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</si>
  <si>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</si>
  <si>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</si>
  <si>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</si>
  <si>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</si>
  <si>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</si>
  <si>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</si>
  <si>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</si>
  <si>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</si>
  <si>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</si>
  <si>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</si>
  <si>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</si>
  <si>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</si>
  <si>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</si>
  <si>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</si>
  <si>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</si>
  <si>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</si>
  <si>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</si>
  <si>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</si>
  <si>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</si>
  <si>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</si>
  <si>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</si>
  <si>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</si>
  <si>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</si>
  <si>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</si>
  <si>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</si>
  <si>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</si>
  <si>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</si>
  <si>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</si>
  <si>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</si>
  <si>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</si>
  <si>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</si>
  <si>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</si>
  <si>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</si>
  <si>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</si>
  <si>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</si>
  <si>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</si>
  <si>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</si>
  <si>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</si>
  <si>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</si>
  <si>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</si>
  <si>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</si>
  <si>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</si>
  <si>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</si>
  <si>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</si>
  <si>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</si>
  <si>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</si>
  <si>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</si>
  <si>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</si>
  <si>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</si>
  <si>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</si>
  <si>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</si>
  <si>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</si>
  <si>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</si>
  <si>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</si>
  <si>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</si>
  <si>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</si>
  <si>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</si>
  <si>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</si>
  <si>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</si>
  <si>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</si>
  <si>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</si>
  <si>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</si>
  <si>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</si>
  <si>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</si>
  <si>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</si>
  <si>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</si>
  <si>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</si>
  <si>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</si>
  <si>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</si>
  <si>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</si>
  <si>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</si>
  <si>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</si>
  <si>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</si>
  <si>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</si>
  <si>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</si>
  <si>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</si>
  <si>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</si>
  <si>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</si>
  <si>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</si>
  <si>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</si>
  <si>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</si>
  <si>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</si>
  <si>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</si>
  <si>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</si>
  <si>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</si>
  <si>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</si>
  <si>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</si>
  <si>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</si>
  <si>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</si>
  <si>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</si>
  <si>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</si>
  <si>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</si>
  <si>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</si>
  <si>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</si>
  <si>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</si>
  <si>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</si>
  <si>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</si>
  <si>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</si>
  <si>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</si>
  <si>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</si>
  <si>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</si>
  <si>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</si>
  <si>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</si>
  <si>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</si>
  <si>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</si>
  <si>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</si>
  <si>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</si>
  <si>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</si>
  <si>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</si>
  <si>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</si>
  <si>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</si>
  <si>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</si>
  <si>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</si>
  <si>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</si>
  <si>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</si>
  <si>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</si>
  <si>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</si>
  <si>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</si>
  <si>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</si>
  <si>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</si>
  <si>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</si>
  <si>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</si>
  <si>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</si>
  <si>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</si>
  <si>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</si>
  <si>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</si>
  <si>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</si>
  <si>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</si>
  <si>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</si>
  <si>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</si>
  <si>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</si>
  <si>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</si>
  <si>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</si>
  <si>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</si>
  <si>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</si>
  <si>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</si>
  <si>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</si>
  <si>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</si>
  <si>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</si>
  <si>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</si>
  <si>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</si>
  <si>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</si>
  <si>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</si>
  <si>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</si>
  <si>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</si>
  <si>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</si>
  <si>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</si>
  <si>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</si>
  <si>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</si>
  <si>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</si>
  <si>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</si>
  <si>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</si>
  <si>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</si>
  <si>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</si>
  <si>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</si>
  <si>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</si>
  <si>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</si>
  <si>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</si>
  <si>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</si>
  <si>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</si>
  <si>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</si>
  <si>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</si>
  <si>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</si>
  <si>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</si>
  <si>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</si>
  <si>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</si>
  <si>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</si>
  <si>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</si>
  <si>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</si>
  <si>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</si>
  <si>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</si>
  <si>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</si>
  <si>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</si>
  <si>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</si>
  <si>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</si>
  <si>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</si>
  <si>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</si>
  <si>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</si>
  <si>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</si>
  <si>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</si>
  <si>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</si>
  <si>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</si>
  <si>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</si>
  <si>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</si>
  <si>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</si>
  <si>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</si>
  <si>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</si>
  <si>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</si>
  <si>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</si>
  <si>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</si>
  <si>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</si>
  <si>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</si>
  <si>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</si>
  <si>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</si>
  <si>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</si>
  <si>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</si>
  <si>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</si>
  <si>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</si>
  <si>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</si>
  <si>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</si>
  <si>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</si>
  <si>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</si>
  <si>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</si>
  <si>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</si>
  <si>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</si>
  <si>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</si>
  <si>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</si>
  <si>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</si>
  <si>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</si>
  <si>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</si>
  <si>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</si>
  <si>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</si>
  <si>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</si>
  <si>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</si>
  <si>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</si>
  <si>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</si>
  <si>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</si>
  <si>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</si>
  <si>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</si>
  <si>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</si>
  <si>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</si>
  <si>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</si>
  <si>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</si>
  <si>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</si>
  <si>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</si>
  <si>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</si>
  <si>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</si>
  <si>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</si>
  <si>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</si>
  <si>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</si>
  <si>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</si>
  <si>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</si>
  <si>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</si>
  <si>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</si>
  <si>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</si>
  <si>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</si>
  <si>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</si>
  <si>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</si>
  <si>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</si>
  <si>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</si>
  <si>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</si>
  <si>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</si>
  <si>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</si>
  <si>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</si>
  <si>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</si>
  <si>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</si>
  <si>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</si>
  <si>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</si>
  <si>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</si>
  <si>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</si>
  <si>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</si>
  <si>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</si>
  <si>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</si>
  <si>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</si>
  <si>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</si>
  <si>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</si>
  <si>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</si>
  <si>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</si>
  <si>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</si>
  <si>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</si>
  <si>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</si>
  <si>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</si>
  <si>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</si>
  <si>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</si>
  <si>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</si>
  <si>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</si>
  <si>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</si>
  <si>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</si>
  <si>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</si>
  <si>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</si>
  <si>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</si>
  <si>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</si>
  <si>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</si>
  <si>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</si>
  <si>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</si>
  <si>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</si>
  <si>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</si>
  <si>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</si>
  <si>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</si>
  <si>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</si>
  <si>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</si>
  <si>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</si>
  <si>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</si>
  <si>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</si>
  <si>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</si>
  <si>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</si>
  <si>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</si>
  <si>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</si>
  <si>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</si>
  <si>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</si>
  <si>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</si>
  <si>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</si>
  <si>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</si>
  <si>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</si>
  <si>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</si>
  <si>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</si>
  <si>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</si>
  <si>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</si>
  <si>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</si>
  <si>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</si>
  <si>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</si>
  <si>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</si>
  <si>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</si>
  <si>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</si>
  <si>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</si>
  <si>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</si>
  <si>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</si>
  <si>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</si>
  <si>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</si>
  <si>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</si>
  <si>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</si>
  <si>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</si>
  <si>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</si>
  <si>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</si>
  <si>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</si>
  <si>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</si>
  <si>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</si>
  <si>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</si>
  <si>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</si>
  <si>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</si>
  <si>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</si>
  <si>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</si>
  <si>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</si>
  <si>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</si>
  <si>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</si>
  <si>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</si>
  <si>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</si>
  <si>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</si>
  <si>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</si>
  <si>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</si>
  <si>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</si>
  <si>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</si>
  <si>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</si>
  <si>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</si>
  <si>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</si>
  <si>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</si>
  <si>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</si>
  <si>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</si>
  <si>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</si>
  <si>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</si>
  <si>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</si>
  <si>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</si>
  <si>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</si>
  <si>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</si>
  <si>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</si>
  <si>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</si>
  <si>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</si>
  <si>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</si>
  <si>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</si>
  <si>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</si>
  <si>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</si>
  <si>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</si>
  <si>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</si>
  <si>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</si>
  <si>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</si>
  <si>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</si>
  <si>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</si>
  <si>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</si>
  <si>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</si>
  <si>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</si>
  <si>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</si>
  <si>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</si>
  <si>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</si>
  <si>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</si>
  <si>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</si>
  <si>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</si>
  <si>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</si>
  <si>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</si>
  <si>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</si>
  <si>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</si>
  <si>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</si>
  <si>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</si>
  <si>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</si>
  <si>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</si>
  <si>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</si>
  <si>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</si>
  <si>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</si>
  <si>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</si>
  <si>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</si>
  <si>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</si>
  <si>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</si>
  <si>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</si>
  <si>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</si>
  <si>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</si>
  <si>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</si>
  <si>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</si>
  <si>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</si>
  <si>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</si>
  <si>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</si>
  <si>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</si>
  <si>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</si>
  <si>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</si>
  <si>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</si>
  <si>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</si>
  <si>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</si>
  <si>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</si>
  <si>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</si>
  <si>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</si>
  <si>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</si>
  <si>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</si>
  <si>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</si>
  <si>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</si>
  <si>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</si>
  <si>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</si>
  <si>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</si>
  <si>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</si>
  <si>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</si>
  <si>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</si>
  <si>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</si>
  <si>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</si>
  <si>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</si>
  <si>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</si>
  <si>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</si>
  <si>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</si>
  <si>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</si>
  <si>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</si>
  <si>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</si>
  <si>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</si>
  <si>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</si>
  <si>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</si>
  <si>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</si>
  <si>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</si>
  <si>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</si>
  <si>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</si>
  <si>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</si>
  <si>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</si>
  <si>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</si>
  <si>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</si>
  <si>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</si>
  <si>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</si>
  <si>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</si>
  <si>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</si>
  <si>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</si>
  <si>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</si>
  <si>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</si>
  <si>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</si>
  <si>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</si>
  <si>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</si>
  <si>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</si>
  <si>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</si>
  <si>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</si>
  <si>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</si>
  <si>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</si>
  <si>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</si>
  <si>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</si>
  <si>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</si>
  <si>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</si>
  <si>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</si>
  <si>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</si>
  <si>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</si>
  <si>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</si>
  <si>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</si>
  <si>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</si>
  <si>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</si>
  <si>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</si>
  <si>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</si>
  <si>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</si>
  <si>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</si>
  <si>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</si>
  <si>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</si>
  <si>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</si>
  <si>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</si>
  <si>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</si>
  <si>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</si>
  <si>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</si>
  <si>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</si>
  <si>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</si>
  <si>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</si>
  <si>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</si>
  <si>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</si>
  <si>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</si>
  <si>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</si>
  <si>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</si>
  <si>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</si>
  <si>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</si>
  <si>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</si>
  <si>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</si>
  <si>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</si>
  <si>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</si>
  <si>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</si>
  <si>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</si>
  <si>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</si>
  <si>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</si>
  <si>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</si>
  <si>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</si>
  <si>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</si>
  <si>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</si>
  <si>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</si>
  <si>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</si>
  <si>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</si>
  <si>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</si>
  <si>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</si>
  <si>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</si>
  <si>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</si>
  <si>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</si>
  <si>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</si>
  <si>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</si>
  <si>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</si>
  <si>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</si>
  <si>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</si>
  <si>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</si>
  <si>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</si>
  <si>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</si>
  <si>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</si>
  <si>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</si>
  <si>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</si>
  <si>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</si>
  <si>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</si>
  <si>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</si>
  <si>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</si>
  <si>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</si>
  <si>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</si>
  <si>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</si>
  <si>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</si>
  <si>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</si>
  <si>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</si>
  <si>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</si>
  <si>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</si>
  <si>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</si>
  <si>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</si>
  <si>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</si>
  <si>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</si>
  <si>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</si>
  <si>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</si>
  <si>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</si>
  <si>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</si>
  <si>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</si>
  <si>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</si>
  <si>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</si>
  <si>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</si>
  <si>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</si>
  <si>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</si>
  <si>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</si>
  <si>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</si>
  <si>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</si>
  <si>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</si>
  <si>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</si>
  <si>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</si>
  <si>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</si>
  <si>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</si>
  <si>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</si>
  <si>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</si>
  <si>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</si>
  <si>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</si>
  <si>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</si>
  <si>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</si>
  <si>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</si>
  <si>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</si>
  <si>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</si>
  <si>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</si>
  <si>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</si>
  <si>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</si>
  <si>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</si>
  <si>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</si>
  <si>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</si>
  <si>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</si>
  <si>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</si>
  <si>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</si>
  <si>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</si>
  <si>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</si>
  <si>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</si>
  <si>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</si>
  <si>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</si>
  <si>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</si>
  <si>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</si>
  <si>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</si>
  <si>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</si>
  <si>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</si>
  <si>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</si>
  <si>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</si>
  <si>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</si>
  <si>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</si>
  <si>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</si>
  <si>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</si>
  <si>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</si>
  <si>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</si>
  <si>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</si>
  <si>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</si>
  <si>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</si>
  <si>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</si>
  <si>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</si>
  <si>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</si>
  <si>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</si>
  <si>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</si>
  <si>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</si>
  <si>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</si>
  <si>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</si>
  <si>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</si>
  <si>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</si>
  <si>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</si>
  <si>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</si>
  <si>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</si>
  <si>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</si>
  <si>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</si>
  <si>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</si>
  <si>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</si>
  <si>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</si>
  <si>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</si>
  <si>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</si>
  <si>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</si>
  <si>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</si>
  <si>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</si>
  <si>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</si>
  <si>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</si>
  <si>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</si>
  <si>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</si>
  <si>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</si>
  <si>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</si>
  <si>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</si>
  <si>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</si>
  <si>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</si>
  <si>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</si>
  <si>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</si>
  <si>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</si>
  <si>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</si>
  <si>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</si>
  <si>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</si>
  <si>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</si>
  <si>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</si>
  <si>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</si>
  <si>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</si>
  <si>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</si>
  <si>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</si>
  <si>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</si>
  <si>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</si>
  <si>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</si>
  <si>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</si>
  <si>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</si>
  <si>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</si>
  <si>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</si>
  <si>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</si>
  <si>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</si>
  <si>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</si>
  <si>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</si>
  <si>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</si>
  <si>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</si>
  <si>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</si>
  <si>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</si>
  <si>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</si>
  <si>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</si>
  <si>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</si>
  <si>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</si>
  <si>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</si>
  <si>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</si>
  <si>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08/05</t>
  </si>
  <si>
    <t>08/25</t>
  </si>
  <si>
    <t>10/03</t>
  </si>
  <si>
    <t>10/13</t>
  </si>
  <si>
    <t>Goodrich Fund</t>
  </si>
  <si>
    <t>Other Revenues from Local Sources include:</t>
  </si>
  <si>
    <t xml:space="preserve">          Food Service Fund - $11,210.67 of Catering Fees received from various customers.</t>
  </si>
  <si>
    <t>Other Restricted Fed Aid through State of $693.00 is ARRA Food Service Grant.</t>
  </si>
  <si>
    <t>-</t>
  </si>
  <si>
    <t xml:space="preserve">          Trust Funds - $2,000.00 received for George Goodrich Scholarship Fund</t>
  </si>
  <si>
    <t>Fund Transfer to General Fund is $47,189.10 for Indirect Costs charged to Grants</t>
  </si>
  <si>
    <t>RAYMOND SD</t>
  </si>
  <si>
    <t>Other Assessments of $92,314.00 are Impact Fees received from the Town of Raymond</t>
  </si>
  <si>
    <t>Transfer From Other Special Revenue Funds of $47,189.10 is Indirect Costs Charged to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</si>
</sst>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5759-412C-403D-B4C9-7A2C9A5C94D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49" sqref="H6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905</v>
      </c>
      <c r="B2" s="21">
        <v>453</v>
      </c>
      <c r="C2" s="21">
        <v>453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631040.67+200</f>
        <v>631240.67000000004</v>
      </c>
      <c r="G9" s="18"/>
      <c r="H9" s="18"/>
      <c r="I9" s="18"/>
      <c r="J9" s="67">
        <f>SUM(I431)</f>
        <v>555586.12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9331.84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382188.73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18860.75</v>
      </c>
      <c r="H13" s="18">
        <v>369489.31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11444.04</v>
      </c>
      <c r="G14" s="18">
        <v>3519.36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1034205.28</v>
      </c>
      <c r="G19" s="41">
        <f>SUM(G9:G18)</f>
        <v>22380.11</v>
      </c>
      <c r="H19" s="41">
        <f>SUM(H9:H18)</f>
        <v>369489.31</v>
      </c>
      <c r="I19" s="41">
        <f>SUM(I9:I18)</f>
        <v>0</v>
      </c>
      <c r="J19" s="41">
        <f>SUM(J9:J18)</f>
        <v>555586.12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14199.94</v>
      </c>
      <c r="H23" s="18">
        <v>367988.79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 t="s">
        <v>310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82015.199999999997</v>
      </c>
      <c r="G25" s="18">
        <v>509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45695.14</f>
        <v>45695.14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628.96+4674.6+96323.46</f>
        <v>101627.02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7671.17</v>
      </c>
      <c r="H31" s="18">
        <v>1500.52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229337.36</v>
      </c>
      <c r="G33" s="41">
        <f>SUM(G23:G32)</f>
        <v>22380.11</v>
      </c>
      <c r="H33" s="41">
        <f>SUM(H23:H32)</f>
        <v>369489.31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7313.79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555586.12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797554.13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804867.92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555586.12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1034205.28</v>
      </c>
      <c r="G44" s="41">
        <f>G43+G33</f>
        <v>22380.11</v>
      </c>
      <c r="H44" s="41">
        <f>H43+H33</f>
        <v>369489.31</v>
      </c>
      <c r="I44" s="41">
        <f>I43+I33</f>
        <v>0</v>
      </c>
      <c r="J44" s="41">
        <f>J43+J33</f>
        <v>555586.12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10957852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92314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11050166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42788.87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4400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92685.82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65625.59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205500.28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3633.04</v>
      </c>
      <c r="G88" s="18"/>
      <c r="H88" s="18"/>
      <c r="I88" s="18"/>
      <c r="J88" s="18">
        <v>13021.58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398311.13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461.76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>
        <v>11210.67</v>
      </c>
      <c r="H102" s="18"/>
      <c r="I102" s="18"/>
      <c r="J102" s="18">
        <v>2000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4094.8</v>
      </c>
      <c r="G103" s="41">
        <f>SUM(G88:G102)</f>
        <v>409521.8</v>
      </c>
      <c r="H103" s="41">
        <f>SUM(H88:H102)</f>
        <v>0</v>
      </c>
      <c r="I103" s="41">
        <f>SUM(I88:I102)</f>
        <v>0</v>
      </c>
      <c r="J103" s="41">
        <f>SUM(J88:J102)</f>
        <v>15021.58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11259761.08</v>
      </c>
      <c r="G104" s="41">
        <f>G52+G103</f>
        <v>409521.8</v>
      </c>
      <c r="H104" s="41">
        <f>H52+H71+H86+H103</f>
        <v>0</v>
      </c>
      <c r="I104" s="41">
        <f>I52+I103</f>
        <v>0</v>
      </c>
      <c r="J104" s="41">
        <f>J52+J103</f>
        <v>15021.58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4086611.47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2060901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1567906.53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7715419.0000000009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503664.45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385652.24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 t="s">
        <v>310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21259.200000000001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5865.92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9600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920175.8899999999</v>
      </c>
      <c r="G128" s="41">
        <f>SUM(G115:G127)</f>
        <v>5865.92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8635594.8900000006</v>
      </c>
      <c r="G132" s="41">
        <f>G113+SUM(G128:G129)</f>
        <v>5865.92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459676.9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290726.59999999998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167318.39000000001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338228.01+238836.78</f>
        <v>577064.79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231878.72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693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231878.72</v>
      </c>
      <c r="G154" s="41">
        <f>SUM(G142:G153)</f>
        <v>168011.39</v>
      </c>
      <c r="H154" s="41">
        <f>SUM(H142:H153)</f>
        <v>1327468.29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231878.72</v>
      </c>
      <c r="G161" s="41">
        <f>G139+G154+SUM(G155:G160)</f>
        <v>168011.39</v>
      </c>
      <c r="H161" s="41">
        <f>H139+H154+SUM(H155:H160)</f>
        <v>1327468.29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24739.87</v>
      </c>
      <c r="H171" s="18"/>
      <c r="I171" s="18"/>
      <c r="J171" s="18">
        <v>221997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47189.1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47189.1</v>
      </c>
      <c r="G175" s="41">
        <f>SUM(G171:G174)</f>
        <v>24739.87</v>
      </c>
      <c r="H175" s="41">
        <f>SUM(H171:H174)</f>
        <v>0</v>
      </c>
      <c r="I175" s="41">
        <f>SUM(I171:I174)</f>
        <v>0</v>
      </c>
      <c r="J175" s="41">
        <f>SUM(J171:J174)</f>
        <v>221997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47189.1</v>
      </c>
      <c r="G184" s="41">
        <f>G175+SUM(G180:G183)</f>
        <v>24739.87</v>
      </c>
      <c r="H184" s="41">
        <f>+H175+SUM(H180:H183)</f>
        <v>0</v>
      </c>
      <c r="I184" s="41">
        <f>I169+I175+SUM(I180:I183)</f>
        <v>0</v>
      </c>
      <c r="J184" s="41">
        <f>J175</f>
        <v>221997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20174423.789999999</v>
      </c>
      <c r="G185" s="47">
        <f>G104+G132+G161+G184</f>
        <v>608138.98</v>
      </c>
      <c r="H185" s="47">
        <f>H104+H132+H161+H184</f>
        <v>1327468.29</v>
      </c>
      <c r="I185" s="47">
        <f>I104+I132+I161+I184</f>
        <v>0</v>
      </c>
      <c r="J185" s="47">
        <f>J104+J132+J184</f>
        <v>237018.58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43147.04+1733276.95</f>
        <v>1776423.99</v>
      </c>
      <c r="G189" s="18">
        <f>61273.08+697026.04</f>
        <v>758299.12</v>
      </c>
      <c r="H189" s="18">
        <v>19319.060000000001</v>
      </c>
      <c r="I189" s="18">
        <f>72976.96</f>
        <v>72976.960000000006</v>
      </c>
      <c r="J189" s="18">
        <f>7601.33</f>
        <v>7601.33</v>
      </c>
      <c r="K189" s="18">
        <f>102.88</f>
        <v>102.88</v>
      </c>
      <c r="L189" s="19">
        <f>SUM(F189:K189)</f>
        <v>2634723.34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31675.8+580250.43</f>
        <v>611926.2300000001</v>
      </c>
      <c r="G190" s="18">
        <f>3776.07+322898.11</f>
        <v>326674.18</v>
      </c>
      <c r="H190" s="18">
        <f>162726.61+245016.06</f>
        <v>407742.67</v>
      </c>
      <c r="I190" s="18">
        <f>2174.81+6874.88</f>
        <v>9049.69</v>
      </c>
      <c r="J190" s="18">
        <f>819.32+518.46</f>
        <v>1337.7800000000002</v>
      </c>
      <c r="K190" s="18">
        <v>8214.11</v>
      </c>
      <c r="L190" s="19">
        <f>SUM(F190:K190)</f>
        <v>1364944.6600000001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916</f>
        <v>916</v>
      </c>
      <c r="G192" s="18">
        <f>138.68</f>
        <v>138.68</v>
      </c>
      <c r="H192" s="18"/>
      <c r="I192" s="18"/>
      <c r="J192" s="18"/>
      <c r="K192" s="18"/>
      <c r="L192" s="19">
        <f>SUM(F192:K192)</f>
        <v>1054.68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54333.04+183648.03</f>
        <v>237981.07</v>
      </c>
      <c r="G194" s="18">
        <f>28081.5+58061.82</f>
        <v>86143.32</v>
      </c>
      <c r="H194" s="18">
        <f>7140.33+3401.19</f>
        <v>10541.52</v>
      </c>
      <c r="I194" s="18">
        <f>6127.07+3290.07</f>
        <v>9417.14</v>
      </c>
      <c r="J194" s="18"/>
      <c r="K194" s="18">
        <f>84.99</f>
        <v>84.99</v>
      </c>
      <c r="L194" s="19">
        <f t="shared" ref="L194:L200" si="0">SUM(F194:K194)</f>
        <v>344168.04000000004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48176.25+50837.96</f>
        <v>99014.209999999992</v>
      </c>
      <c r="G195" s="18">
        <f>16741.69+25334.76</f>
        <v>42076.45</v>
      </c>
      <c r="H195" s="18">
        <f>24812.27+11159.56</f>
        <v>35971.83</v>
      </c>
      <c r="I195" s="18">
        <f>5942.24+12495.84</f>
        <v>18438.080000000002</v>
      </c>
      <c r="J195" s="18">
        <f>4535.79+15083.76</f>
        <v>19619.55</v>
      </c>
      <c r="K195" s="18"/>
      <c r="L195" s="19">
        <f t="shared" si="0"/>
        <v>215120.12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163436.72</v>
      </c>
      <c r="G196" s="18">
        <v>69804.710000000006</v>
      </c>
      <c r="H196" s="18">
        <v>46536</v>
      </c>
      <c r="I196" s="18">
        <v>8051.15</v>
      </c>
      <c r="J196" s="18">
        <v>794.33</v>
      </c>
      <c r="K196" s="18">
        <v>6429.48</v>
      </c>
      <c r="L196" s="19">
        <f t="shared" si="0"/>
        <v>295052.39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224179.59</f>
        <v>224179.59</v>
      </c>
      <c r="G197" s="18">
        <f>123968.81</f>
        <v>123968.81</v>
      </c>
      <c r="H197" s="18">
        <f>51036.38</f>
        <v>51036.38</v>
      </c>
      <c r="I197" s="18">
        <f>1624.25</f>
        <v>1624.25</v>
      </c>
      <c r="J197" s="18"/>
      <c r="K197" s="18">
        <f>1340</f>
        <v>1340</v>
      </c>
      <c r="L197" s="19">
        <f t="shared" si="0"/>
        <v>402149.03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54230.71</v>
      </c>
      <c r="G198" s="18">
        <v>21379.43</v>
      </c>
      <c r="H198" s="18">
        <v>3519.63</v>
      </c>
      <c r="I198" s="18"/>
      <c r="J198" s="18"/>
      <c r="K198" s="18">
        <v>124.93</v>
      </c>
      <c r="L198" s="19">
        <f t="shared" si="0"/>
        <v>79254.7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78676.04+119555.03</f>
        <v>198231.07</v>
      </c>
      <c r="G199" s="18">
        <f>23885.4+55831.96</f>
        <v>79717.36</v>
      </c>
      <c r="H199" s="18">
        <f>22411.81+104853.44</f>
        <v>127265.25</v>
      </c>
      <c r="I199" s="18">
        <f>1464.57+113864.5</f>
        <v>115329.07</v>
      </c>
      <c r="J199" s="18">
        <v>6938.88</v>
      </c>
      <c r="K199" s="18"/>
      <c r="L199" s="19">
        <f t="shared" si="0"/>
        <v>527481.63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125157.18+231653.53+2166.5</f>
        <v>358977.20999999996</v>
      </c>
      <c r="I200" s="18"/>
      <c r="J200" s="18"/>
      <c r="K200" s="18"/>
      <c r="L200" s="19">
        <f t="shared" si="0"/>
        <v>358977.20999999996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1462.52</v>
      </c>
      <c r="I201" s="18"/>
      <c r="J201" s="18"/>
      <c r="K201" s="18"/>
      <c r="L201" s="19">
        <f>SUM(F201:K201)</f>
        <v>1462.52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3366339.59</v>
      </c>
      <c r="G203" s="41">
        <f t="shared" si="1"/>
        <v>1508202.06</v>
      </c>
      <c r="H203" s="41">
        <f t="shared" si="1"/>
        <v>1062372.0699999998</v>
      </c>
      <c r="I203" s="41">
        <f t="shared" si="1"/>
        <v>234886.34000000003</v>
      </c>
      <c r="J203" s="41">
        <f t="shared" si="1"/>
        <v>36291.870000000003</v>
      </c>
      <c r="K203" s="41">
        <f t="shared" si="1"/>
        <v>16296.39</v>
      </c>
      <c r="L203" s="41">
        <f t="shared" si="1"/>
        <v>6224388.3200000003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36590.45+1616118.94</f>
        <v>1652709.39</v>
      </c>
      <c r="G207" s="18">
        <f>51962.06+652311.87</f>
        <v>704273.92999999993</v>
      </c>
      <c r="H207" s="18">
        <f>16383.35+2519</f>
        <v>18902.349999999999</v>
      </c>
      <c r="I207" s="18">
        <f>114152.19</f>
        <v>114152.19</v>
      </c>
      <c r="J207" s="18">
        <f>3459.21</f>
        <v>3459.21</v>
      </c>
      <c r="K207" s="18"/>
      <c r="L207" s="19">
        <f>SUM(F207:K207)</f>
        <v>2493497.0699999998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26862.36+619406.38</f>
        <v>646268.74</v>
      </c>
      <c r="G208" s="18">
        <f>3202.27+311636.79</f>
        <v>314839.06</v>
      </c>
      <c r="H208" s="18">
        <f>137998.78+346707.45-1732.5</f>
        <v>482973.73</v>
      </c>
      <c r="I208" s="18">
        <f>1844.33+6702.9</f>
        <v>8547.23</v>
      </c>
      <c r="J208" s="18">
        <v>694.81</v>
      </c>
      <c r="K208" s="18">
        <v>6965.9</v>
      </c>
      <c r="L208" s="19">
        <f>SUM(F208:K208)</f>
        <v>1460289.47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32364</f>
        <v>32364</v>
      </c>
      <c r="G210" s="18">
        <f>4297.38</f>
        <v>4297.38</v>
      </c>
      <c r="H210" s="18">
        <f>4405</f>
        <v>4405</v>
      </c>
      <c r="I210" s="18">
        <v>2690.1</v>
      </c>
      <c r="J210" s="18"/>
      <c r="K210" s="18"/>
      <c r="L210" s="19">
        <f>SUM(F210:K210)</f>
        <v>43756.479999999996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46076.63+235472.58</f>
        <v>281549.20999999996</v>
      </c>
      <c r="G212" s="18">
        <f>23814.24+119002.34</f>
        <v>142816.57999999999</v>
      </c>
      <c r="H212" s="18">
        <v>6055.3</v>
      </c>
      <c r="I212" s="18">
        <f>5196+2927.87</f>
        <v>8123.87</v>
      </c>
      <c r="J212" s="18">
        <f>950</f>
        <v>950</v>
      </c>
      <c r="K212" s="18"/>
      <c r="L212" s="19">
        <f t="shared" ref="L212:L218" si="2">SUM(F212:K212)</f>
        <v>439494.9599999999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40855.42+77795.7</f>
        <v>118651.12</v>
      </c>
      <c r="G213" s="18">
        <f>14197.63+37898.44</f>
        <v>52096.07</v>
      </c>
      <c r="H213" s="18">
        <f>21041.82+10542.38</f>
        <v>31584.199999999997</v>
      </c>
      <c r="I213" s="18">
        <f>5039.25+23082.27</f>
        <v>28121.52</v>
      </c>
      <c r="J213" s="18">
        <f>3846.53+6055.46</f>
        <v>9901.99</v>
      </c>
      <c r="K213" s="18"/>
      <c r="L213" s="19">
        <f t="shared" si="2"/>
        <v>240354.9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138600.98000000001</v>
      </c>
      <c r="G214" s="18">
        <v>59197.22</v>
      </c>
      <c r="H214" s="18">
        <v>39464.42</v>
      </c>
      <c r="I214" s="18">
        <v>6827.69</v>
      </c>
      <c r="J214" s="18">
        <v>673.63</v>
      </c>
      <c r="K214" s="18">
        <v>5452.47</v>
      </c>
      <c r="L214" s="19">
        <f t="shared" si="2"/>
        <v>250216.41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242457.44</f>
        <v>242457.44</v>
      </c>
      <c r="G215" s="18">
        <f>113231.87</f>
        <v>113231.87</v>
      </c>
      <c r="H215" s="18">
        <f>54771.98</f>
        <v>54771.98</v>
      </c>
      <c r="I215" s="18">
        <f>3994.96</f>
        <v>3994.96</v>
      </c>
      <c r="J215" s="18"/>
      <c r="K215" s="18">
        <f>1588</f>
        <v>1588</v>
      </c>
      <c r="L215" s="19">
        <f t="shared" si="2"/>
        <v>416044.25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45989.84</v>
      </c>
      <c r="G216" s="18">
        <v>18130.63</v>
      </c>
      <c r="H216" s="18">
        <v>2984.79</v>
      </c>
      <c r="I216" s="18"/>
      <c r="J216" s="18"/>
      <c r="K216" s="18">
        <v>105.94</v>
      </c>
      <c r="L216" s="19">
        <f t="shared" si="2"/>
        <v>67211.199999999997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66720.47+124806.9</f>
        <v>191527.37</v>
      </c>
      <c r="G217" s="18">
        <f>20255.79+56260.6</f>
        <v>76516.39</v>
      </c>
      <c r="H217" s="18">
        <f>19006.12+52770.18</f>
        <v>71776.3</v>
      </c>
      <c r="I217" s="18">
        <f>1242.02+182570.52</f>
        <v>183812.53999999998</v>
      </c>
      <c r="J217" s="18">
        <v>5884.45</v>
      </c>
      <c r="K217" s="18"/>
      <c r="L217" s="19">
        <f t="shared" si="2"/>
        <v>529517.04999999993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 t="s">
        <v>310</v>
      </c>
      <c r="G218" s="18"/>
      <c r="H218" s="18">
        <f>109512.53+100383.2+5245.64</f>
        <v>215141.37</v>
      </c>
      <c r="I218" s="18"/>
      <c r="J218" s="18"/>
      <c r="K218" s="18"/>
      <c r="L218" s="19">
        <f t="shared" si="2"/>
        <v>215141.37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1240.27</v>
      </c>
      <c r="I219" s="18"/>
      <c r="J219" s="18"/>
      <c r="K219" s="18"/>
      <c r="L219" s="19">
        <f>SUM(F219:K219)</f>
        <v>1240.27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3350118.09</v>
      </c>
      <c r="G221" s="41">
        <f>SUM(G207:G220)</f>
        <v>1485399.1299999997</v>
      </c>
      <c r="H221" s="41">
        <f>SUM(H207:H220)</f>
        <v>929299.71000000008</v>
      </c>
      <c r="I221" s="41">
        <f>SUM(I207:I220)</f>
        <v>356270.1</v>
      </c>
      <c r="J221" s="41">
        <f>SUM(J207:J220)</f>
        <v>21564.09</v>
      </c>
      <c r="K221" s="41">
        <f t="shared" si="3"/>
        <v>14112.31</v>
      </c>
      <c r="L221" s="41">
        <f t="shared" si="3"/>
        <v>6156763.4299999997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35965.19+1701124.85</f>
        <v>1737090.04</v>
      </c>
      <c r="G225" s="18">
        <f>51074.15+687249.65</f>
        <v>738323.8</v>
      </c>
      <c r="H225" s="18">
        <f>16103.4+15927.63</f>
        <v>32031.03</v>
      </c>
      <c r="I225" s="18">
        <f>90336.92</f>
        <v>90336.92</v>
      </c>
      <c r="J225" s="18">
        <f>29187.09</f>
        <v>29187.09</v>
      </c>
      <c r="K225" s="18"/>
      <c r="L225" s="19">
        <f>SUM(F225:K225)</f>
        <v>2626968.8799999994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26403.35+570645.23</f>
        <v>597048.57999999996</v>
      </c>
      <c r="G226" s="18">
        <f>3147.55+347023.22</f>
        <v>350170.76999999996</v>
      </c>
      <c r="H226" s="18">
        <f>135640.69+330193.53-1138.5-627</f>
        <v>464068.72000000003</v>
      </c>
      <c r="I226" s="18">
        <f>1812.81+5985.3</f>
        <v>7798.1100000000006</v>
      </c>
      <c r="J226" s="18">
        <f>682.94+888.15</f>
        <v>1571.0900000000001</v>
      </c>
      <c r="K226" s="18">
        <v>6846.86</v>
      </c>
      <c r="L226" s="19">
        <f>SUM(F226:K226)</f>
        <v>1427504.1300000001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187007</f>
        <v>187007</v>
      </c>
      <c r="I227" s="18"/>
      <c r="J227" s="18"/>
      <c r="K227" s="18"/>
      <c r="L227" s="19">
        <f>SUM(F227:K227)</f>
        <v>187007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93331.12</f>
        <v>93331.12</v>
      </c>
      <c r="G228" s="18">
        <f>10580.83</f>
        <v>10580.83</v>
      </c>
      <c r="H228" s="18">
        <f>25203.31</f>
        <v>25203.31</v>
      </c>
      <c r="I228" s="18">
        <f>9860.13</f>
        <v>9860.1299999999992</v>
      </c>
      <c r="J228" s="18">
        <f>5978</f>
        <v>5978</v>
      </c>
      <c r="K228" s="18">
        <f>4815</f>
        <v>4815</v>
      </c>
      <c r="L228" s="19">
        <f>SUM(F228:K228)</f>
        <v>149768.38999999998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45289.28+237940.55</f>
        <v>283229.82999999996</v>
      </c>
      <c r="G230" s="18">
        <f>23407.32+106488.13</f>
        <v>129895.45000000001</v>
      </c>
      <c r="H230" s="18">
        <f>5951.82+25168.14</f>
        <v>31119.96</v>
      </c>
      <c r="I230" s="18">
        <f>5107.21+5509.62</f>
        <v>10616.83</v>
      </c>
      <c r="J230" s="18">
        <f>1965.59</f>
        <v>1965.59</v>
      </c>
      <c r="K230" s="18">
        <f>205</f>
        <v>205</v>
      </c>
      <c r="L230" s="19">
        <f t="shared" ref="L230:L236" si="4">SUM(F230:K230)</f>
        <v>457032.66000000003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40157.29+48765.58</f>
        <v>88922.87</v>
      </c>
      <c r="G231" s="18">
        <f>13955.03+20588.72</f>
        <v>34543.75</v>
      </c>
      <c r="H231" s="18">
        <f>20682.26+13662.46</f>
        <v>34344.720000000001</v>
      </c>
      <c r="I231" s="18">
        <f>4953.14+24327.99</f>
        <v>29281.13</v>
      </c>
      <c r="J231" s="18">
        <f>3780.81+78494.8</f>
        <v>82275.61</v>
      </c>
      <c r="K231" s="18">
        <f>923.83</f>
        <v>923.83</v>
      </c>
      <c r="L231" s="19">
        <f t="shared" si="4"/>
        <v>270291.91000000003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136232.6</v>
      </c>
      <c r="G232" s="18">
        <v>58185.67</v>
      </c>
      <c r="H232" s="18">
        <v>38790.06</v>
      </c>
      <c r="I232" s="18">
        <v>6711.02</v>
      </c>
      <c r="J232" s="18">
        <v>662.12</v>
      </c>
      <c r="K232" s="18">
        <v>5359.3</v>
      </c>
      <c r="L232" s="19">
        <f t="shared" si="4"/>
        <v>245940.77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249024.04</f>
        <v>249024.04</v>
      </c>
      <c r="G233" s="18">
        <f>109574.46</f>
        <v>109574.46</v>
      </c>
      <c r="H233" s="18">
        <f>58222.52</f>
        <v>58222.52</v>
      </c>
      <c r="I233" s="18">
        <f>4140</f>
        <v>4140</v>
      </c>
      <c r="J233" s="18"/>
      <c r="K233" s="18">
        <f>4710</f>
        <v>4710</v>
      </c>
      <c r="L233" s="19">
        <f t="shared" si="4"/>
        <v>425671.02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45203.98</v>
      </c>
      <c r="G234" s="18">
        <v>17820.82</v>
      </c>
      <c r="H234" s="18">
        <v>2933.79</v>
      </c>
      <c r="I234" s="18"/>
      <c r="J234" s="18"/>
      <c r="K234" s="18">
        <v>104.13</v>
      </c>
      <c r="L234" s="19">
        <f t="shared" si="4"/>
        <v>66062.720000000001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65580.38+116734.62</f>
        <v>182315</v>
      </c>
      <c r="G235" s="18">
        <f>19909.66+60692.7</f>
        <v>80602.36</v>
      </c>
      <c r="H235" s="18">
        <f>18681.35+90455.21</f>
        <v>109136.56</v>
      </c>
      <c r="I235" s="18">
        <f>1220.79+128015.82</f>
        <v>129236.61</v>
      </c>
      <c r="J235" s="18">
        <v>5783.9</v>
      </c>
      <c r="K235" s="18"/>
      <c r="L235" s="19">
        <f t="shared" si="4"/>
        <v>507074.43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132567.89+61774.27+23756.86</f>
        <v>218099.02000000002</v>
      </c>
      <c r="I236" s="18"/>
      <c r="J236" s="18"/>
      <c r="K236" s="18"/>
      <c r="L236" s="19">
        <f t="shared" si="4"/>
        <v>218099.02000000002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1219.08</v>
      </c>
      <c r="I237" s="18"/>
      <c r="J237" s="18"/>
      <c r="K237" s="18"/>
      <c r="L237" s="19">
        <f>SUM(F237:K237)</f>
        <v>1219.08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3412398.0600000005</v>
      </c>
      <c r="G239" s="41">
        <f t="shared" si="5"/>
        <v>1529697.9100000001</v>
      </c>
      <c r="H239" s="41">
        <f t="shared" si="5"/>
        <v>1202175.7700000003</v>
      </c>
      <c r="I239" s="41">
        <f t="shared" si="5"/>
        <v>287980.75</v>
      </c>
      <c r="J239" s="41">
        <f t="shared" si="5"/>
        <v>127423.4</v>
      </c>
      <c r="K239" s="41">
        <f t="shared" si="5"/>
        <v>22964.120000000003</v>
      </c>
      <c r="L239" s="41">
        <f t="shared" si="5"/>
        <v>6582640.0099999998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>
        <v>19232.990000000002</v>
      </c>
      <c r="J245" s="18"/>
      <c r="K245" s="18"/>
      <c r="L245" s="19">
        <f t="shared" si="6"/>
        <v>19232.990000000002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19232.990000000002</v>
      </c>
      <c r="J248" s="41">
        <f t="shared" si="7"/>
        <v>0</v>
      </c>
      <c r="K248" s="41">
        <f t="shared" si="7"/>
        <v>0</v>
      </c>
      <c r="L248" s="41">
        <f>SUM(F248:K248)</f>
        <v>19232.990000000002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10128855.74</v>
      </c>
      <c r="G249" s="41">
        <f t="shared" si="8"/>
        <v>4523299.0999999996</v>
      </c>
      <c r="H249" s="41">
        <f t="shared" si="8"/>
        <v>3193847.55</v>
      </c>
      <c r="I249" s="41">
        <f t="shared" si="8"/>
        <v>898370.17999999993</v>
      </c>
      <c r="J249" s="41">
        <f t="shared" si="8"/>
        <v>185279.35999999999</v>
      </c>
      <c r="K249" s="41">
        <f t="shared" si="8"/>
        <v>53372.82</v>
      </c>
      <c r="L249" s="41">
        <f t="shared" si="8"/>
        <v>18983024.749999996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870944.18</v>
      </c>
      <c r="L252" s="19">
        <f>SUM(F252:K252)</f>
        <v>870944.18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178845.36</v>
      </c>
      <c r="L253" s="19">
        <f>SUM(F253:K253)</f>
        <v>178845.36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24739.87</v>
      </c>
      <c r="L255" s="19">
        <f>SUM(F255:K255)</f>
        <v>24739.87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221997</v>
      </c>
      <c r="L258" s="19">
        <f t="shared" si="9"/>
        <v>221997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3498</v>
      </c>
      <c r="L260" s="19">
        <f t="shared" si="9"/>
        <v>3498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1300024.4100000001</v>
      </c>
      <c r="L262" s="41">
        <f t="shared" si="9"/>
        <v>1300024.4100000001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10128855.74</v>
      </c>
      <c r="G263" s="42">
        <f t="shared" si="11"/>
        <v>4523299.0999999996</v>
      </c>
      <c r="H263" s="42">
        <f t="shared" si="11"/>
        <v>3193847.55</v>
      </c>
      <c r="I263" s="42">
        <f t="shared" si="11"/>
        <v>898370.17999999993</v>
      </c>
      <c r="J263" s="42">
        <f t="shared" si="11"/>
        <v>185279.35999999999</v>
      </c>
      <c r="K263" s="42">
        <f t="shared" si="11"/>
        <v>1353397.2300000002</v>
      </c>
      <c r="L263" s="42">
        <f t="shared" si="11"/>
        <v>20283049.159999996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1912.5+228209.66</f>
        <v>230122.16</v>
      </c>
      <c r="G268" s="18">
        <f>146.31+104176.58</f>
        <v>104322.89</v>
      </c>
      <c r="H268" s="18">
        <f>43197.45</f>
        <v>43197.45</v>
      </c>
      <c r="I268" s="18">
        <v>1738.54</v>
      </c>
      <c r="J268" s="18"/>
      <c r="K268" s="18"/>
      <c r="L268" s="19">
        <f>SUM(F268:K268)</f>
        <v>379381.04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15852.73+92904.95</f>
        <v>108757.68</v>
      </c>
      <c r="G269" s="18">
        <f>6051.82+42228.73</f>
        <v>48280.55</v>
      </c>
      <c r="H269" s="18">
        <f>20102.27</f>
        <v>20102.27</v>
      </c>
      <c r="I269" s="18">
        <f>31980.5+2736.74</f>
        <v>34717.24</v>
      </c>
      <c r="J269" s="18">
        <f>4933.03</f>
        <v>4933.03</v>
      </c>
      <c r="K269" s="18"/>
      <c r="L269" s="19">
        <f>SUM(F269:K269)</f>
        <v>216790.76999999996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13718.99+15360</f>
        <v>29078.989999999998</v>
      </c>
      <c r="G271" s="18">
        <f>1388.79+2325.5</f>
        <v>3714.29</v>
      </c>
      <c r="H271" s="18"/>
      <c r="I271" s="18"/>
      <c r="J271" s="18"/>
      <c r="K271" s="18"/>
      <c r="L271" s="19">
        <f>SUM(F271:K271)</f>
        <v>32793.279999999999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10440</f>
        <v>10440</v>
      </c>
      <c r="I273" s="18"/>
      <c r="J273" s="18"/>
      <c r="K273" s="18"/>
      <c r="L273" s="19">
        <f t="shared" ref="L273:L279" si="12">SUM(F273:K273)</f>
        <v>10440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3010.34+3277.4</f>
        <v>6287.74</v>
      </c>
      <c r="G274" s="18">
        <f>255.47+250.71</f>
        <v>506.18</v>
      </c>
      <c r="H274" s="18">
        <f>27370.01+9280</f>
        <v>36650.009999999995</v>
      </c>
      <c r="I274" s="18">
        <v>2009.1</v>
      </c>
      <c r="J274" s="18">
        <f>1088.33+91902.01</f>
        <v>92990.34</v>
      </c>
      <c r="K274" s="18"/>
      <c r="L274" s="19">
        <f t="shared" si="12"/>
        <v>138443.37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>
        <f>2928.54</f>
        <v>2928.54</v>
      </c>
      <c r="K276" s="18"/>
      <c r="L276" s="19">
        <f t="shared" si="12"/>
        <v>2928.54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374246.56999999995</v>
      </c>
      <c r="G282" s="42">
        <f t="shared" si="13"/>
        <v>156823.91</v>
      </c>
      <c r="H282" s="42">
        <f t="shared" si="13"/>
        <v>110389.73</v>
      </c>
      <c r="I282" s="42">
        <f t="shared" si="13"/>
        <v>38464.879999999997</v>
      </c>
      <c r="J282" s="42">
        <f t="shared" si="13"/>
        <v>100851.90999999999</v>
      </c>
      <c r="K282" s="42">
        <f t="shared" si="13"/>
        <v>0</v>
      </c>
      <c r="L282" s="41">
        <f t="shared" si="13"/>
        <v>780777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956.25+56026.92</f>
        <v>56983.17</v>
      </c>
      <c r="G287" s="18">
        <f>73.16+13637.57</f>
        <v>13710.73</v>
      </c>
      <c r="H287" s="18">
        <f>7079.58</f>
        <v>7079.58</v>
      </c>
      <c r="I287" s="18">
        <f>1474.35+1707.43</f>
        <v>3181.7799999999997</v>
      </c>
      <c r="J287" s="18">
        <f>5040</f>
        <v>5040</v>
      </c>
      <c r="K287" s="18"/>
      <c r="L287" s="19">
        <f>SUM(F287:K287)</f>
        <v>85995.26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13443.76+52702.7</f>
        <v>66146.459999999992</v>
      </c>
      <c r="G288" s="18">
        <f>5132.2+19990.33</f>
        <v>25122.530000000002</v>
      </c>
      <c r="H288" s="18">
        <v>17047.54</v>
      </c>
      <c r="I288" s="18">
        <f>21174.19+2320.86</f>
        <v>23495.05</v>
      </c>
      <c r="J288" s="18">
        <f>4933.03</f>
        <v>4933.03</v>
      </c>
      <c r="K288" s="18"/>
      <c r="L288" s="19">
        <f>SUM(F288:K288)</f>
        <v>136744.60999999999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2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/>
      <c r="G290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2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/>
      <c r="I292" s="18"/>
      <c r="J292" s="18">
        <f>800</f>
        <v>800</v>
      </c>
      <c r="K292" s="18"/>
      <c r="L292" s="19">
        <f t="shared" ref="L292:L298" si="14">SUM(F292:K292)</f>
        <v>800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2552.89+830</f>
        <v>3382.89</v>
      </c>
      <c r="G293" s="18">
        <f>216.65+63.5</f>
        <v>280.14999999999998</v>
      </c>
      <c r="H293" s="18">
        <f>23210.88+13982.51</f>
        <v>37193.39</v>
      </c>
      <c r="I293" s="18">
        <f>1703.8+99.9</f>
        <v>1803.7</v>
      </c>
      <c r="J293" s="18">
        <v>922.95</v>
      </c>
      <c r="K293" s="18"/>
      <c r="L293" s="19">
        <f t="shared" si="14"/>
        <v>43583.079999999994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126512.51999999999</v>
      </c>
      <c r="G301" s="42">
        <f t="shared" si="15"/>
        <v>39113.410000000003</v>
      </c>
      <c r="H301" s="42">
        <f t="shared" si="15"/>
        <v>61320.51</v>
      </c>
      <c r="I301" s="42">
        <f t="shared" si="15"/>
        <v>28480.53</v>
      </c>
      <c r="J301" s="42">
        <f t="shared" si="15"/>
        <v>11695.98</v>
      </c>
      <c r="K301" s="42">
        <f t="shared" si="15"/>
        <v>0</v>
      </c>
      <c r="L301" s="41">
        <f t="shared" si="15"/>
        <v>267122.95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956.25+2940</f>
        <v>3896.25</v>
      </c>
      <c r="G306" s="18">
        <f>73.15+445.14</f>
        <v>518.29</v>
      </c>
      <c r="H306" s="18"/>
      <c r="I306" s="18">
        <v>1449.16</v>
      </c>
      <c r="J306" s="18">
        <f>7797</f>
        <v>7797</v>
      </c>
      <c r="K306" s="18"/>
      <c r="L306" s="19">
        <f>SUM(F306:K306)</f>
        <v>13660.7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13214.03+90517.7</f>
        <v>103731.73</v>
      </c>
      <c r="G307" s="18">
        <f>5044.5+41967.85</f>
        <v>47012.35</v>
      </c>
      <c r="H307" s="18">
        <v>16756.240000000002</v>
      </c>
      <c r="I307" s="18">
        <v>2281.1999999999998</v>
      </c>
      <c r="J307" s="18">
        <f>4933.04</f>
        <v>4933.04</v>
      </c>
      <c r="K307" s="18"/>
      <c r="L307" s="19">
        <f>SUM(F307:K307)</f>
        <v>174714.56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>
        <f>800</f>
        <v>800</v>
      </c>
      <c r="K311" s="18"/>
      <c r="L311" s="19">
        <f t="shared" ref="L311:L317" si="16">SUM(F311:K311)</f>
        <v>800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2509.27+1557.5</f>
        <v>4066.77</v>
      </c>
      <c r="G312" s="18">
        <f>212.94+119.15</f>
        <v>332.09000000000003</v>
      </c>
      <c r="H312" s="18">
        <f>22814.27+13409</f>
        <v>36223.270000000004</v>
      </c>
      <c r="I312" s="18">
        <v>1674.68</v>
      </c>
      <c r="J312" s="18">
        <v>907.17</v>
      </c>
      <c r="K312" s="18"/>
      <c r="L312" s="19">
        <f t="shared" si="16"/>
        <v>43203.98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111694.75</v>
      </c>
      <c r="G320" s="42">
        <f t="shared" si="17"/>
        <v>47862.729999999996</v>
      </c>
      <c r="H320" s="42">
        <f t="shared" si="17"/>
        <v>52979.510000000009</v>
      </c>
      <c r="I320" s="42">
        <f t="shared" si="17"/>
        <v>5405.04</v>
      </c>
      <c r="J320" s="42">
        <f t="shared" si="17"/>
        <v>14437.210000000001</v>
      </c>
      <c r="K320" s="42">
        <f t="shared" si="17"/>
        <v>0</v>
      </c>
      <c r="L320" s="41">
        <f t="shared" si="17"/>
        <v>232379.24000000002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612453.84</v>
      </c>
      <c r="G330" s="41">
        <f t="shared" si="20"/>
        <v>243800.05</v>
      </c>
      <c r="H330" s="41">
        <f t="shared" si="20"/>
        <v>224689.75</v>
      </c>
      <c r="I330" s="41">
        <f t="shared" si="20"/>
        <v>72350.45</v>
      </c>
      <c r="J330" s="41">
        <f t="shared" si="20"/>
        <v>126985.09999999999</v>
      </c>
      <c r="K330" s="41">
        <f t="shared" si="20"/>
        <v>0</v>
      </c>
      <c r="L330" s="41">
        <f t="shared" si="20"/>
        <v>1280279.19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47189.1</f>
        <v>47189.1</v>
      </c>
      <c r="L336" s="19">
        <f t="shared" ref="L336:L342" si="21">SUM(F336:K336)</f>
        <v>47189.1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47189.1</v>
      </c>
      <c r="L343" s="41">
        <f>SUM(L333:L342)</f>
        <v>47189.1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612453.84</v>
      </c>
      <c r="G344" s="41">
        <f>G330</f>
        <v>243800.05</v>
      </c>
      <c r="H344" s="41">
        <f>H330</f>
        <v>224689.75</v>
      </c>
      <c r="I344" s="41">
        <f>I330</f>
        <v>72350.45</v>
      </c>
      <c r="J344" s="41">
        <f>J330</f>
        <v>126985.09999999999</v>
      </c>
      <c r="K344" s="47">
        <f>K330+K343</f>
        <v>47189.1</v>
      </c>
      <c r="L344" s="41">
        <f>L330+L343</f>
        <v>1327468.29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89048.27</v>
      </c>
      <c r="G350" s="18">
        <v>45304.99</v>
      </c>
      <c r="H350" s="18">
        <v>2227.56</v>
      </c>
      <c r="I350" s="18">
        <f>3192.91+69795.36</f>
        <v>72988.27</v>
      </c>
      <c r="J350" s="18">
        <v>693</v>
      </c>
      <c r="K350" s="18">
        <v>434.16</v>
      </c>
      <c r="L350" s="13">
        <f>SUM(F350:K350)</f>
        <v>210696.25000000003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68164.3</v>
      </c>
      <c r="G351" s="18">
        <v>32656.07</v>
      </c>
      <c r="H351" s="18">
        <v>4034.24</v>
      </c>
      <c r="I351" s="18">
        <f>4300.62+74178.61</f>
        <v>78479.23</v>
      </c>
      <c r="J351" s="18">
        <v>630</v>
      </c>
      <c r="K351" s="18">
        <v>368.19</v>
      </c>
      <c r="L351" s="19">
        <f>SUM(F351:K351)</f>
        <v>184332.03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85218.55</v>
      </c>
      <c r="G352" s="18">
        <v>32506.71</v>
      </c>
      <c r="H352" s="18">
        <v>3018.17</v>
      </c>
      <c r="I352" s="18">
        <f>7066.73+82903.65</f>
        <v>89970.37999999999</v>
      </c>
      <c r="J352" s="18">
        <v>2035</v>
      </c>
      <c r="K352" s="18">
        <v>361.89</v>
      </c>
      <c r="L352" s="19">
        <f>SUM(F352:K352)</f>
        <v>213110.7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242431.12</v>
      </c>
      <c r="G354" s="47">
        <f t="shared" si="22"/>
        <v>110467.76999999999</v>
      </c>
      <c r="H354" s="47">
        <f t="shared" si="22"/>
        <v>9279.9699999999993</v>
      </c>
      <c r="I354" s="47">
        <f t="shared" si="22"/>
        <v>241437.88</v>
      </c>
      <c r="J354" s="47">
        <f t="shared" si="22"/>
        <v>3358</v>
      </c>
      <c r="K354" s="47">
        <f t="shared" si="22"/>
        <v>1164.24</v>
      </c>
      <c r="L354" s="47">
        <f t="shared" si="22"/>
        <v>608138.98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69795.360000000001</v>
      </c>
      <c r="G359" s="18">
        <v>74178.61</v>
      </c>
      <c r="H359" s="18">
        <v>82903.649999999994</v>
      </c>
      <c r="I359" s="56">
        <f>SUM(F359:H359)</f>
        <v>226877.62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3192.91</v>
      </c>
      <c r="G360" s="63">
        <v>4300.62</v>
      </c>
      <c r="H360" s="63">
        <v>7066.73</v>
      </c>
      <c r="I360" s="56">
        <f>SUM(F360:H360)</f>
        <v>14560.259999999998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72988.27</v>
      </c>
      <c r="G361" s="47">
        <f>SUM(G359:G360)</f>
        <v>78479.23</v>
      </c>
      <c r="H361" s="47">
        <f>SUM(H359:H360)</f>
        <v>89970.37999999999</v>
      </c>
      <c r="I361" s="47">
        <f>SUM(I359:I360)</f>
        <v>241437.88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95000</v>
      </c>
      <c r="H388" s="18">
        <v>6579.04</v>
      </c>
      <c r="I388" s="18"/>
      <c r="J388" s="24" t="s">
        <v>312</v>
      </c>
      <c r="K388" s="24" t="s">
        <v>312</v>
      </c>
      <c r="L388" s="56">
        <f t="shared" si="26"/>
        <v>101579.04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3151.87</v>
      </c>
      <c r="I389" s="18"/>
      <c r="J389" s="24" t="s">
        <v>312</v>
      </c>
      <c r="K389" s="24" t="s">
        <v>312</v>
      </c>
      <c r="L389" s="56">
        <f t="shared" si="26"/>
        <v>3151.87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60000</v>
      </c>
      <c r="H391" s="18">
        <v>1853.88</v>
      </c>
      <c r="I391" s="18"/>
      <c r="J391" s="24" t="s">
        <v>312</v>
      </c>
      <c r="K391" s="24" t="s">
        <v>312</v>
      </c>
      <c r="L391" s="56">
        <f t="shared" si="26"/>
        <v>61853.88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f>16997+50000</f>
        <v>66997</v>
      </c>
      <c r="H392" s="18">
        <f>564.94+275.23</f>
        <v>840.17000000000007</v>
      </c>
      <c r="I392" s="18"/>
      <c r="J392" s="24" t="s">
        <v>312</v>
      </c>
      <c r="K392" s="24" t="s">
        <v>312</v>
      </c>
      <c r="L392" s="56">
        <f t="shared" si="26"/>
        <v>67837.17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221997</v>
      </c>
      <c r="H393" s="47">
        <f>SUM(H387:H392)</f>
        <v>12424.960000000001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234421.95999999996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898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596.62</v>
      </c>
      <c r="I395" s="18">
        <v>2000</v>
      </c>
      <c r="J395" s="24" t="s">
        <v>312</v>
      </c>
      <c r="K395" s="24" t="s">
        <v>312</v>
      </c>
      <c r="L395" s="56">
        <f>SUM(F395:K395)</f>
        <v>2596.62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596.62</v>
      </c>
      <c r="I399" s="47">
        <f>SUM(I395:I398)</f>
        <v>2000</v>
      </c>
      <c r="J399" s="49" t="s">
        <v>312</v>
      </c>
      <c r="K399" s="49" t="s">
        <v>312</v>
      </c>
      <c r="L399" s="47">
        <f>SUM(L395:L398)</f>
        <v>2596.62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221997</v>
      </c>
      <c r="H400" s="47">
        <f>H385+H393+H399</f>
        <v>13021.580000000002</v>
      </c>
      <c r="I400" s="47">
        <f>I385+I393+I399</f>
        <v>2000</v>
      </c>
      <c r="J400" s="24" t="s">
        <v>312</v>
      </c>
      <c r="K400" s="24" t="s">
        <v>312</v>
      </c>
      <c r="L400" s="47">
        <f>L385+L393+L399</f>
        <v>237018.57999999996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>
        <v>116943</v>
      </c>
      <c r="K414" s="18"/>
      <c r="L414" s="56">
        <f t="shared" si="29"/>
        <v>116943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>
        <v>50000</v>
      </c>
      <c r="J418" s="18">
        <v>6981</v>
      </c>
      <c r="K418" s="18"/>
      <c r="L418" s="56">
        <f t="shared" si="29"/>
        <v>56981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50000</v>
      </c>
      <c r="J419" s="47">
        <f t="shared" si="30"/>
        <v>123924</v>
      </c>
      <c r="K419" s="47">
        <f t="shared" si="30"/>
        <v>0</v>
      </c>
      <c r="L419" s="47">
        <f t="shared" si="30"/>
        <v>173924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898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7000</v>
      </c>
      <c r="I421" s="18"/>
      <c r="J421" s="18"/>
      <c r="K421" s="18"/>
      <c r="L421" s="56">
        <f>SUM(F421:K421)</f>
        <v>7000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7000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7000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7000</v>
      </c>
      <c r="I426" s="47">
        <f t="shared" si="32"/>
        <v>50000</v>
      </c>
      <c r="J426" s="47">
        <f t="shared" si="32"/>
        <v>123924</v>
      </c>
      <c r="K426" s="47">
        <f t="shared" si="32"/>
        <v>0</v>
      </c>
      <c r="L426" s="47">
        <f t="shared" si="32"/>
        <v>180924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362435.27+168387.53</f>
        <v>530822.80000000005</v>
      </c>
      <c r="H431" s="18">
        <v>24763.32</v>
      </c>
      <c r="I431" s="56">
        <f t="shared" ref="I431:I437" si="33">SUM(F431:H431)</f>
        <v>555586.12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530822.80000000005</v>
      </c>
      <c r="H438" s="13">
        <f>SUM(H431:H437)</f>
        <v>24763.32</v>
      </c>
      <c r="I438" s="13">
        <f>SUM(I431:I437)</f>
        <v>555586.12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530822.80000000005</v>
      </c>
      <c r="H449" s="18">
        <v>24763.32</v>
      </c>
      <c r="I449" s="56">
        <f>SUM(F449:H449)</f>
        <v>555586.12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530822.80000000005</v>
      </c>
      <c r="H450" s="83">
        <f>SUM(H446:H449)</f>
        <v>24763.32</v>
      </c>
      <c r="I450" s="83">
        <f>SUM(I446:I449)</f>
        <v>555586.12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530822.80000000005</v>
      </c>
      <c r="H451" s="42">
        <f>H444+H450</f>
        <v>24763.32</v>
      </c>
      <c r="I451" s="42">
        <f>I444+I450</f>
        <v>555586.12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913493.29</v>
      </c>
      <c r="G455" s="18">
        <v>0</v>
      </c>
      <c r="H455" s="18">
        <v>0</v>
      </c>
      <c r="I455" s="18">
        <v>0</v>
      </c>
      <c r="J455" s="18">
        <v>499491.54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20174423.789999999</v>
      </c>
      <c r="G458" s="18">
        <f>607445.98+693</f>
        <v>608138.98</v>
      </c>
      <c r="H458" s="18">
        <v>1327468.29</v>
      </c>
      <c r="I458" s="18"/>
      <c r="J458" s="18">
        <f>221997+13021.58+2000</f>
        <v>237018.58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20174423.789999999</v>
      </c>
      <c r="G460" s="53">
        <f>SUM(G458:G459)</f>
        <v>608138.98</v>
      </c>
      <c r="H460" s="53">
        <f>SUM(H458:H459)</f>
        <v>1327468.29</v>
      </c>
      <c r="I460" s="53">
        <f>SUM(I458:I459)</f>
        <v>0</v>
      </c>
      <c r="J460" s="53">
        <f>SUM(J458:J459)</f>
        <v>237018.58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20283049.16</v>
      </c>
      <c r="G462" s="18">
        <f>607445.98+693</f>
        <v>608138.98</v>
      </c>
      <c r="H462" s="18">
        <v>1327468.29</v>
      </c>
      <c r="I462" s="18"/>
      <c r="J462" s="18">
        <v>180924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20283049.16</v>
      </c>
      <c r="G464" s="53">
        <f>SUM(G462:G463)</f>
        <v>608138.98</v>
      </c>
      <c r="H464" s="53">
        <f>SUM(H462:H463)</f>
        <v>1327468.29</v>
      </c>
      <c r="I464" s="53">
        <f>SUM(I462:I463)</f>
        <v>0</v>
      </c>
      <c r="J464" s="53">
        <f>SUM(J462:J463)</f>
        <v>180924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804867.91999999806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555586.12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13402490</v>
      </c>
      <c r="G483" s="18">
        <v>246250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4.13</v>
      </c>
      <c r="G484" s="18">
        <v>4.3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10288764.51</v>
      </c>
      <c r="G485" s="18">
        <v>123125</v>
      </c>
      <c r="H485" s="18"/>
      <c r="I485" s="18"/>
      <c r="J485" s="18"/>
      <c r="K485" s="53">
        <f>SUM(F485:J485)</f>
        <v>10411889.51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846319.18</v>
      </c>
      <c r="G487" s="18">
        <v>24625</v>
      </c>
      <c r="H487" s="18"/>
      <c r="I487" s="18"/>
      <c r="J487" s="18"/>
      <c r="K487" s="53">
        <f t="shared" si="34"/>
        <v>870944.18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9442445.3300000001</v>
      </c>
      <c r="G488" s="205">
        <v>98500</v>
      </c>
      <c r="H488" s="205"/>
      <c r="I488" s="205"/>
      <c r="J488" s="205"/>
      <c r="K488" s="206">
        <f t="shared" si="34"/>
        <v>9540945.3300000001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6837919.6699999999</v>
      </c>
      <c r="G489" s="18">
        <v>10588.76</v>
      </c>
      <c r="H489" s="18"/>
      <c r="I489" s="18"/>
      <c r="J489" s="18"/>
      <c r="K489" s="53">
        <f t="shared" si="34"/>
        <v>6848508.4299999997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16280365</v>
      </c>
      <c r="G490" s="42">
        <f>SUM(G488:G489)</f>
        <v>109088.76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16389453.76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806308.05</v>
      </c>
      <c r="G491" s="205">
        <v>24625</v>
      </c>
      <c r="H491" s="205"/>
      <c r="I491" s="205"/>
      <c r="J491" s="205"/>
      <c r="K491" s="206">
        <f t="shared" si="34"/>
        <v>830933.05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209531.95</v>
      </c>
      <c r="G492" s="18">
        <v>4235.5</v>
      </c>
      <c r="H492" s="18"/>
      <c r="I492" s="18"/>
      <c r="J492" s="18"/>
      <c r="K492" s="53">
        <f t="shared" si="34"/>
        <v>213767.45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1015840</v>
      </c>
      <c r="G493" s="42">
        <f>SUM(G491:G492)</f>
        <v>28860.5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1044700.5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17456.24+580043.25+19767.92+94486.01</f>
        <v>711753.42</v>
      </c>
      <c r="G511" s="18">
        <f>2672.55+322882.27+6324.11+42716.32</f>
        <v>374595.25</v>
      </c>
      <c r="H511" s="18">
        <f>150800.98+245016.06+26101.02</f>
        <v>421918.06000000006</v>
      </c>
      <c r="I511" s="18">
        <f>1742.64+6874.88+1552.66+31980.5</f>
        <v>42150.68</v>
      </c>
      <c r="J511" s="18">
        <f>819.32+518.46+5827+2091.93</f>
        <v>9256.7100000000009</v>
      </c>
      <c r="K511" s="18">
        <f>8214.1+7837.01+327.25</f>
        <v>16378.36</v>
      </c>
      <c r="L511" s="88">
        <f>SUM(F511:K511)</f>
        <v>1576052.48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14803.6+619406.38+16764+52702.7</f>
        <v>703676.67999999993</v>
      </c>
      <c r="G512" s="18">
        <f>2266.44+311636.79+5363.09+19990.33</f>
        <v>339256.65</v>
      </c>
      <c r="H512" s="18">
        <f>127885.35+346707.45+22134.73</f>
        <v>496727.53</v>
      </c>
      <c r="I512" s="18">
        <f>1477.83+6702.9+1316.72+19518.96</f>
        <v>29016.409999999996</v>
      </c>
      <c r="J512" s="18">
        <f>694.81+4941.53</f>
        <v>5636.34</v>
      </c>
      <c r="K512" s="18">
        <f>6965.9+6646.11</f>
        <v>13612.009999999998</v>
      </c>
      <c r="L512" s="88">
        <f>SUM(F512:K512)</f>
        <v>1587925.6199999999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14550.64+570438.05+16477.54+90517.7</f>
        <v>691983.93</v>
      </c>
      <c r="G513" s="18">
        <f>2227.71+347007.36+5271.46+41967.85</f>
        <v>396474.38</v>
      </c>
      <c r="H513" s="18">
        <f>125700.07+330193.53+21756.49</f>
        <v>477650.09</v>
      </c>
      <c r="I513" s="18">
        <f>1452.57+5985.3+1294.22</f>
        <v>8732.09</v>
      </c>
      <c r="J513" s="18">
        <f>682.94+888.15+4857.09</f>
        <v>6428.18</v>
      </c>
      <c r="K513" s="18">
        <f>6846.87+6532.54</f>
        <v>13379.41</v>
      </c>
      <c r="L513" s="88">
        <f>SUM(F513:K513)</f>
        <v>1594648.08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2107414.0300000003</v>
      </c>
      <c r="G514" s="108">
        <f t="shared" ref="G514:L514" si="35">SUM(G511:G513)</f>
        <v>1110326.28</v>
      </c>
      <c r="H514" s="108">
        <f t="shared" si="35"/>
        <v>1396295.6800000002</v>
      </c>
      <c r="I514" s="108">
        <f t="shared" si="35"/>
        <v>79899.179999999993</v>
      </c>
      <c r="J514" s="108">
        <f t="shared" si="35"/>
        <v>21321.230000000003</v>
      </c>
      <c r="K514" s="108">
        <f t="shared" si="35"/>
        <v>43369.78</v>
      </c>
      <c r="L514" s="89">
        <f t="shared" si="35"/>
        <v>4758626.18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54333.04+13922.23</f>
        <v>68255.27</v>
      </c>
      <c r="G516" s="18">
        <f>28081.5+14644.79</f>
        <v>42726.29</v>
      </c>
      <c r="H516" s="18">
        <f>7140.33+190.18</f>
        <v>7330.51</v>
      </c>
      <c r="I516" s="18">
        <f>6127.07+1066.41</f>
        <v>7193.48</v>
      </c>
      <c r="J516" s="18">
        <v>998.07</v>
      </c>
      <c r="K516" s="18"/>
      <c r="L516" s="88">
        <f>SUM(F516:K516)</f>
        <v>126503.62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46076.63+13057.22</f>
        <v>59133.85</v>
      </c>
      <c r="G517" s="18">
        <f>23814.24+19257.92</f>
        <v>43072.160000000003</v>
      </c>
      <c r="H517" s="18">
        <f>6055.3+161.29</f>
        <v>6216.59</v>
      </c>
      <c r="I517" s="18">
        <f>5196+904.36</f>
        <v>6100.36</v>
      </c>
      <c r="J517" s="18">
        <v>846.4</v>
      </c>
      <c r="K517" s="18"/>
      <c r="L517" s="88">
        <f>SUM(F517:K517)</f>
        <v>115369.36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45289.279999999999</v>
      </c>
      <c r="G518" s="18">
        <v>23407.32</v>
      </c>
      <c r="H518" s="18">
        <f>5951.82+158.53</f>
        <v>6110.3499999999995</v>
      </c>
      <c r="I518" s="18">
        <f>5107.21+888.9</f>
        <v>5996.11</v>
      </c>
      <c r="J518" s="18">
        <v>831.94</v>
      </c>
      <c r="K518" s="18"/>
      <c r="L518" s="88">
        <f>SUM(F518:K518)</f>
        <v>81635.000000000015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172678.39999999999</v>
      </c>
      <c r="G519" s="89">
        <f t="shared" ref="G519:L519" si="36">SUM(G516:G518)</f>
        <v>109205.77000000002</v>
      </c>
      <c r="H519" s="89">
        <f t="shared" si="36"/>
        <v>19657.45</v>
      </c>
      <c r="I519" s="89">
        <f t="shared" si="36"/>
        <v>19289.95</v>
      </c>
      <c r="J519" s="89">
        <f t="shared" si="36"/>
        <v>2676.41</v>
      </c>
      <c r="K519" s="89">
        <f t="shared" si="36"/>
        <v>0</v>
      </c>
      <c r="L519" s="89">
        <f t="shared" si="36"/>
        <v>323507.98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38650.230000000003</v>
      </c>
      <c r="G521" s="18">
        <v>22670</v>
      </c>
      <c r="H521" s="18">
        <v>2596.8000000000002</v>
      </c>
      <c r="I521" s="18"/>
      <c r="J521" s="18"/>
      <c r="K521" s="18">
        <v>561.98</v>
      </c>
      <c r="L521" s="88">
        <f>SUM(F521:K521)</f>
        <v>64479.010000000009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32776.959999999999</v>
      </c>
      <c r="G522" s="18">
        <v>19225.080000000002</v>
      </c>
      <c r="H522" s="18">
        <v>2202.1999999999998</v>
      </c>
      <c r="I522" s="18"/>
      <c r="J522" s="18"/>
      <c r="K522" s="18">
        <v>476.58</v>
      </c>
      <c r="L522" s="88">
        <f>SUM(F522:K522)</f>
        <v>54680.82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32216.880000000001</v>
      </c>
      <c r="G523" s="18">
        <v>18896.560000000001</v>
      </c>
      <c r="H523" s="18">
        <v>2164.56</v>
      </c>
      <c r="I523" s="18"/>
      <c r="J523" s="18"/>
      <c r="K523" s="18">
        <v>468.44</v>
      </c>
      <c r="L523" s="88">
        <f>SUM(F523:K523)</f>
        <v>53746.44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103644.07</v>
      </c>
      <c r="G524" s="89">
        <f t="shared" ref="G524:L524" si="37">SUM(G521:G523)</f>
        <v>60791.64</v>
      </c>
      <c r="H524" s="89">
        <f t="shared" si="37"/>
        <v>6963.5599999999995</v>
      </c>
      <c r="I524" s="89">
        <f t="shared" si="37"/>
        <v>0</v>
      </c>
      <c r="J524" s="89">
        <f t="shared" si="37"/>
        <v>0</v>
      </c>
      <c r="K524" s="89">
        <f t="shared" si="37"/>
        <v>1507</v>
      </c>
      <c r="L524" s="89">
        <f t="shared" si="37"/>
        <v>172906.27000000002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11925.64</v>
      </c>
      <c r="I526" s="18"/>
      <c r="J526" s="18"/>
      <c r="K526" s="18"/>
      <c r="L526" s="88">
        <f>SUM(F526:K526)</f>
        <v>11925.64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10113.43</v>
      </c>
      <c r="I527" s="18"/>
      <c r="J527" s="18"/>
      <c r="K527" s="18"/>
      <c r="L527" s="88">
        <f>SUM(F527:K527)</f>
        <v>10113.43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9940.61</v>
      </c>
      <c r="I528" s="18"/>
      <c r="J528" s="18"/>
      <c r="K528" s="18"/>
      <c r="L528" s="88">
        <f>SUM(F528:K528)</f>
        <v>9940.61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31979.68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31979.68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231653.53</v>
      </c>
      <c r="I531" s="18"/>
      <c r="J531" s="18"/>
      <c r="K531" s="18"/>
      <c r="L531" s="88">
        <f>SUM(F531:K531)</f>
        <v>231653.53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100383.2</v>
      </c>
      <c r="I532" s="18"/>
      <c r="J532" s="18"/>
      <c r="K532" s="18"/>
      <c r="L532" s="88">
        <f>SUM(F532:K532)</f>
        <v>100383.2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61774.27</v>
      </c>
      <c r="I533" s="18"/>
      <c r="J533" s="18"/>
      <c r="K533" s="18"/>
      <c r="L533" s="88">
        <f>SUM(F533:K533)</f>
        <v>61774.27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393811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393811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2383736.5</v>
      </c>
      <c r="G535" s="89">
        <f t="shared" ref="G535:L535" si="40">G514+G519+G524+G529+G534</f>
        <v>1280323.69</v>
      </c>
      <c r="H535" s="89">
        <f t="shared" si="40"/>
        <v>1848707.37</v>
      </c>
      <c r="I535" s="89">
        <f t="shared" si="40"/>
        <v>99189.12999999999</v>
      </c>
      <c r="J535" s="89">
        <f t="shared" si="40"/>
        <v>23997.640000000003</v>
      </c>
      <c r="K535" s="89">
        <f t="shared" si="40"/>
        <v>44876.78</v>
      </c>
      <c r="L535" s="89">
        <f t="shared" si="40"/>
        <v>5680831.1099999994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1576052.48</v>
      </c>
      <c r="G539" s="87">
        <f>L516</f>
        <v>126503.62</v>
      </c>
      <c r="H539" s="87">
        <f>L521</f>
        <v>64479.010000000009</v>
      </c>
      <c r="I539" s="87">
        <f>L526</f>
        <v>11925.64</v>
      </c>
      <c r="J539" s="87">
        <f>L531</f>
        <v>231653.53</v>
      </c>
      <c r="K539" s="87">
        <f>SUM(F539:J539)</f>
        <v>2010614.28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1587925.6199999999</v>
      </c>
      <c r="G540" s="87">
        <f>L517</f>
        <v>115369.36</v>
      </c>
      <c r="H540" s="87">
        <f>L522</f>
        <v>54680.82</v>
      </c>
      <c r="I540" s="87">
        <f>L527</f>
        <v>10113.43</v>
      </c>
      <c r="J540" s="87">
        <f>L532</f>
        <v>100383.2</v>
      </c>
      <c r="K540" s="87">
        <f>SUM(F540:J540)</f>
        <v>1868472.43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1594648.08</v>
      </c>
      <c r="G541" s="87">
        <f>L518</f>
        <v>81635.000000000015</v>
      </c>
      <c r="H541" s="87">
        <f>L523</f>
        <v>53746.44</v>
      </c>
      <c r="I541" s="87">
        <f>L528</f>
        <v>9940.61</v>
      </c>
      <c r="J541" s="87">
        <f>L533</f>
        <v>61774.27</v>
      </c>
      <c r="K541" s="87">
        <f>SUM(F541:J541)</f>
        <v>1801744.4000000001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4758626.18</v>
      </c>
      <c r="G542" s="89">
        <f t="shared" si="41"/>
        <v>323507.98</v>
      </c>
      <c r="H542" s="89">
        <f t="shared" si="41"/>
        <v>172906.27000000002</v>
      </c>
      <c r="I542" s="89">
        <f t="shared" si="41"/>
        <v>31979.68</v>
      </c>
      <c r="J542" s="89">
        <f t="shared" si="41"/>
        <v>393811</v>
      </c>
      <c r="K542" s="89">
        <f t="shared" si="41"/>
        <v>5680831.1100000003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14374.08</v>
      </c>
      <c r="G552" s="18">
        <v>1115.3399999999999</v>
      </c>
      <c r="H552" s="18"/>
      <c r="I552" s="18">
        <v>432.17</v>
      </c>
      <c r="J552" s="18"/>
      <c r="K552" s="18"/>
      <c r="L552" s="88">
        <f>SUM(F552:K552)</f>
        <v>15921.59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12189.8</v>
      </c>
      <c r="G553" s="18">
        <v>945.86</v>
      </c>
      <c r="H553" s="18"/>
      <c r="I553" s="18">
        <v>366.5</v>
      </c>
      <c r="J553" s="18"/>
      <c r="K553" s="18"/>
      <c r="L553" s="88">
        <f>SUM(F553:K553)</f>
        <v>13502.16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11981.51</v>
      </c>
      <c r="G554" s="18">
        <v>929.69</v>
      </c>
      <c r="H554" s="18"/>
      <c r="I554" s="18">
        <v>360.24</v>
      </c>
      <c r="J554" s="18"/>
      <c r="K554" s="18"/>
      <c r="L554" s="88">
        <f>SUM(F554:K554)</f>
        <v>13271.44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38545.39</v>
      </c>
      <c r="G555" s="89">
        <f t="shared" si="43"/>
        <v>2990.89</v>
      </c>
      <c r="H555" s="89">
        <f t="shared" si="43"/>
        <v>0</v>
      </c>
      <c r="I555" s="89">
        <f t="shared" si="43"/>
        <v>1158.9100000000001</v>
      </c>
      <c r="J555" s="89">
        <f t="shared" si="43"/>
        <v>0</v>
      </c>
      <c r="K555" s="89">
        <f t="shared" si="43"/>
        <v>0</v>
      </c>
      <c r="L555" s="89">
        <f t="shared" si="43"/>
        <v>42695.19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38545.39</v>
      </c>
      <c r="G561" s="89">
        <f t="shared" ref="G561:L561" si="45">G550+G555+G560</f>
        <v>2990.89</v>
      </c>
      <c r="H561" s="89">
        <f t="shared" si="45"/>
        <v>0</v>
      </c>
      <c r="I561" s="89">
        <f t="shared" si="45"/>
        <v>1158.9100000000001</v>
      </c>
      <c r="J561" s="89">
        <f t="shared" si="45"/>
        <v>0</v>
      </c>
      <c r="K561" s="89">
        <f t="shared" si="45"/>
        <v>0</v>
      </c>
      <c r="L561" s="89">
        <f t="shared" si="45"/>
        <v>42695.19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 t="s">
        <v>310</v>
      </c>
      <c r="H569" s="18">
        <v>5323.11</v>
      </c>
      <c r="I569" s="87">
        <f t="shared" si="46"/>
        <v>5323.11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188208.74</v>
      </c>
      <c r="G572" s="18">
        <v>341588.47</v>
      </c>
      <c r="H572" s="18">
        <v>323105.36</v>
      </c>
      <c r="I572" s="87">
        <f t="shared" si="46"/>
        <v>852902.57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60193.8</v>
      </c>
      <c r="G573" s="18"/>
      <c r="H573" s="18"/>
      <c r="I573" s="87">
        <f t="shared" si="46"/>
        <v>60193.8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187007</v>
      </c>
      <c r="I574" s="87">
        <f t="shared" si="46"/>
        <v>187007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125157.18</f>
        <v>125157.18</v>
      </c>
      <c r="I581" s="18">
        <f>109512.53</f>
        <v>109512.53</v>
      </c>
      <c r="J581" s="18">
        <f>132567.89-38700</f>
        <v>93867.890000000014</v>
      </c>
      <c r="K581" s="104">
        <f t="shared" ref="K581:K587" si="47">SUM(H581:J581)</f>
        <v>328537.59999999998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231653.53</v>
      </c>
      <c r="I582" s="18">
        <v>100383.2</v>
      </c>
      <c r="J582" s="18">
        <v>61774.27</v>
      </c>
      <c r="K582" s="104">
        <f t="shared" si="47"/>
        <v>393811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38700</f>
        <v>38700</v>
      </c>
      <c r="K583" s="104">
        <f t="shared" si="47"/>
        <v>38700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4393.14</f>
        <v>4393.1400000000003</v>
      </c>
      <c r="J584" s="18">
        <f>18610.98</f>
        <v>18610.98</v>
      </c>
      <c r="K584" s="104">
        <f t="shared" si="47"/>
        <v>23004.12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2166.5</f>
        <v>2166.5</v>
      </c>
      <c r="I585" s="18">
        <f>852.5</f>
        <v>852.5</v>
      </c>
      <c r="J585" s="18">
        <f>5145.88</f>
        <v>5145.88</v>
      </c>
      <c r="K585" s="104">
        <f t="shared" si="47"/>
        <v>8164.88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358977.20999999996</v>
      </c>
      <c r="I588" s="108">
        <f>SUM(I581:I587)</f>
        <v>215141.37</v>
      </c>
      <c r="J588" s="108">
        <f>SUM(J581:J587)</f>
        <v>218099.02000000002</v>
      </c>
      <c r="K588" s="108">
        <f>SUM(K581:K587)</f>
        <v>792217.59999999998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137294.96</v>
      </c>
      <c r="I594" s="18">
        <f>10464.67+5840+16921.68</f>
        <v>33226.35</v>
      </c>
      <c r="J594" s="18">
        <f>116513.63+8597+16632.52</f>
        <v>141743.15</v>
      </c>
      <c r="K594" s="104">
        <f>SUM(H594:J594)</f>
        <v>312264.45999999996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137294.96</v>
      </c>
      <c r="I595" s="108">
        <f>SUM(I592:I594)</f>
        <v>33226.35</v>
      </c>
      <c r="J595" s="108">
        <f>SUM(J592:J594)</f>
        <v>141743.15</v>
      </c>
      <c r="K595" s="108">
        <f>SUM(K592:K594)</f>
        <v>312264.45999999996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6200</f>
        <v>6200</v>
      </c>
      <c r="G602" s="18">
        <f>474.3+419.44</f>
        <v>893.74</v>
      </c>
      <c r="H602" s="18"/>
      <c r="I602" s="18"/>
      <c r="J602" s="18"/>
      <c r="K602" s="18"/>
      <c r="L602" s="88">
        <f>SUM(F602:K602)</f>
        <v>7093.74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5800</f>
        <v>5800</v>
      </c>
      <c r="G603" s="18">
        <f>443.7+359.52</f>
        <v>803.22</v>
      </c>
      <c r="H603" s="18"/>
      <c r="I603" s="18"/>
      <c r="J603" s="18"/>
      <c r="K603" s="18"/>
      <c r="L603" s="88">
        <f>SUM(F603:K603)</f>
        <v>6603.22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12000</v>
      </c>
      <c r="G604" s="108">
        <f t="shared" si="48"/>
        <v>1696.96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13696.96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1034205.28</v>
      </c>
      <c r="H607" s="109">
        <f>SUM(F44)</f>
        <v>1034205.28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22380.11</v>
      </c>
      <c r="H608" s="109">
        <f>SUM(G44)</f>
        <v>22380.11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369489.31</v>
      </c>
      <c r="H609" s="109">
        <f>SUM(H44)</f>
        <v>369489.31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555586.12</v>
      </c>
      <c r="H611" s="109">
        <f>SUM(J44)</f>
        <v>555586.12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804867.92</v>
      </c>
      <c r="H612" s="109">
        <f>F466</f>
        <v>804867.91999999806</v>
      </c>
      <c r="I612" s="121" t="s">
        <v>106</v>
      </c>
      <c r="J612" s="109">
        <f t="shared" ref="J612:J645" si="49">G612-H612</f>
        <v>1.9790604710578918E-9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555586.12</v>
      </c>
      <c r="H616" s="109">
        <f>J466</f>
        <v>555586.12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20174423.789999999</v>
      </c>
      <c r="H617" s="104">
        <f>SUM(F458)</f>
        <v>20174423.789999999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608138.98</v>
      </c>
      <c r="H618" s="104">
        <f>SUM(G458)</f>
        <v>608138.98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1327468.29</v>
      </c>
      <c r="H619" s="104">
        <f>SUM(H458)</f>
        <v>1327468.29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237018.58</v>
      </c>
      <c r="H621" s="104">
        <f>SUM(J458)</f>
        <v>237018.58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20283049.159999996</v>
      </c>
      <c r="H622" s="104">
        <f>SUM(F462)</f>
        <v>20283049.16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1327468.29</v>
      </c>
      <c r="H623" s="104">
        <f>SUM(H462)</f>
        <v>1327468.29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241437.88</v>
      </c>
      <c r="H624" s="104">
        <f>I361</f>
        <v>241437.88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608138.98</v>
      </c>
      <c r="H625" s="104">
        <f>SUM(G462)</f>
        <v>608138.98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237018.57999999996</v>
      </c>
      <c r="H627" s="164">
        <f>SUM(J458)</f>
        <v>237018.58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180924</v>
      </c>
      <c r="H628" s="164">
        <f>SUM(J462)</f>
        <v>180924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530822.80000000005</v>
      </c>
      <c r="H630" s="104">
        <f>SUM(G451)</f>
        <v>530822.80000000005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24763.32</v>
      </c>
      <c r="H631" s="104">
        <f>SUM(H451)</f>
        <v>24763.32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555586.12</v>
      </c>
      <c r="H632" s="104">
        <f>SUM(I451)</f>
        <v>555586.12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13021.58</v>
      </c>
      <c r="H634" s="104">
        <f>H400</f>
        <v>13021.580000000002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221997</v>
      </c>
      <c r="H635" s="104">
        <f>G400</f>
        <v>221997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237018.58</v>
      </c>
      <c r="H636" s="104">
        <f>L400</f>
        <v>237018.57999999996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792217.59999999998</v>
      </c>
      <c r="H637" s="104">
        <f>L200+L218+L236</f>
        <v>792217.59999999998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312264.45999999996</v>
      </c>
      <c r="H638" s="104">
        <f>(J249+J330)-(J247+J328)</f>
        <v>312264.45999999996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358977.20999999996</v>
      </c>
      <c r="H639" s="104">
        <f>H588</f>
        <v>358977.20999999996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215141.37</v>
      </c>
      <c r="H640" s="104">
        <f>I588</f>
        <v>215141.37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218099.02000000002</v>
      </c>
      <c r="H641" s="104">
        <f>J588</f>
        <v>218099.02000000002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24739.87</v>
      </c>
      <c r="H642" s="104">
        <f>K255+K337</f>
        <v>24739.87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221997</v>
      </c>
      <c r="H645" s="104">
        <f>K258+K339</f>
        <v>221997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7215861.5700000003</v>
      </c>
      <c r="G650" s="19">
        <f>(L221+L301+L351)</f>
        <v>6608218.4100000001</v>
      </c>
      <c r="H650" s="19">
        <f>(L239+L320+L352)</f>
        <v>7028129.9500000002</v>
      </c>
      <c r="I650" s="19">
        <f>SUM(F650:H650)</f>
        <v>20852209.93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141883.20497602376</v>
      </c>
      <c r="G651" s="19">
        <f>(L351/IF(SUM(L350:L352)=0,1,SUM(L350:L352))*(SUM(G89:G102)))</f>
        <v>124129.49540457677</v>
      </c>
      <c r="H651" s="19">
        <f>(L352/IF(SUM(L350:L352)=0,1,SUM(L350:L352))*(SUM(G89:G102)))</f>
        <v>143509.09961939949</v>
      </c>
      <c r="I651" s="19">
        <f>SUM(F651:H651)</f>
        <v>409521.80000000005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358977.20999999996</v>
      </c>
      <c r="G652" s="19">
        <f>(L218+L298)-(J218+J298)</f>
        <v>215141.37</v>
      </c>
      <c r="H652" s="19">
        <f>(L236+L317)-(J236+J317)</f>
        <v>218099.02000000002</v>
      </c>
      <c r="I652" s="19">
        <f>SUM(F652:H652)</f>
        <v>792217.59999999998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385697.5</v>
      </c>
      <c r="G653" s="200">
        <f>SUM(G565:G577)+SUM(I592:I594)+L602</f>
        <v>381908.55999999994</v>
      </c>
      <c r="H653" s="200">
        <f>SUM(H565:H577)+SUM(J592:J594)+L603</f>
        <v>663781.84</v>
      </c>
      <c r="I653" s="19">
        <f>SUM(F653:H653)</f>
        <v>1431387.9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6329303.6550239762</v>
      </c>
      <c r="G654" s="19">
        <f>G650-SUM(G651:G653)</f>
        <v>5887038.9845954236</v>
      </c>
      <c r="H654" s="19">
        <f>H650-SUM(H651:H653)</f>
        <v>6002739.990380601</v>
      </c>
      <c r="I654" s="19">
        <f>I650-SUM(I651:I653)</f>
        <v>18219082.629999999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532.04999999999995</v>
      </c>
      <c r="G655" s="249">
        <v>451.2</v>
      </c>
      <c r="H655" s="249">
        <v>442.49</v>
      </c>
      <c r="I655" s="19">
        <f>SUM(F655:H655)</f>
        <v>1425.74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11896.07</v>
      </c>
      <c r="G657" s="19">
        <f>ROUND(G654/G655,2)</f>
        <v>13047.52</v>
      </c>
      <c r="H657" s="19">
        <f>ROUND(H654/H655,2)</f>
        <v>13565.82</v>
      </c>
      <c r="I657" s="19">
        <f>ROUND(I654/I655,2)</f>
        <v>12778.69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-26.4</v>
      </c>
      <c r="I660" s="19">
        <f>SUM(F660:H660)</f>
        <v>-26.4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11896.07</v>
      </c>
      <c r="G662" s="19">
        <f>ROUND((G654+G659)/(G655+G660),2)</f>
        <v>13047.52</v>
      </c>
      <c r="H662" s="19">
        <f>ROUND((H654+H659)/(H655+H660),2)</f>
        <v>14426.54</v>
      </c>
      <c r="I662" s="19">
        <f>ROUND((I654+I659)/(I655+I660),2)</f>
        <v>13019.77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76D1-F0EB-415C-9025-8C06E29599B8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RAYMOND SD</v>
      </c>
      <c r="C1" s="239" t="s">
        <v>873</v>
      </c>
    </row>
    <row r="2" spans="1:3" x14ac:dyDescent="0.2">
      <c r="A2" s="234"/>
      <c r="B2" s="233"/>
    </row>
    <row r="3" spans="1:3" x14ac:dyDescent="0.2">
      <c r="A3" s="273" t="s">
        <v>818</v>
      </c>
      <c r="B3" s="273"/>
      <c r="C3" s="273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5" t="s">
        <v>816</v>
      </c>
      <c r="C7" s="276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5457225</v>
      </c>
      <c r="C9" s="230">
        <f>'DOE25'!G189+'DOE25'!G207+'DOE25'!G225+'DOE25'!G268+'DOE25'!G287+'DOE25'!G306</f>
        <v>2319448.7599999998</v>
      </c>
    </row>
    <row r="10" spans="1:3" x14ac:dyDescent="0.2">
      <c r="A10" t="s">
        <v>813</v>
      </c>
      <c r="B10" s="241">
        <v>5060428.74</v>
      </c>
      <c r="C10" s="241">
        <v>2127170.14</v>
      </c>
    </row>
    <row r="11" spans="1:3" x14ac:dyDescent="0.2">
      <c r="A11" t="s">
        <v>814</v>
      </c>
      <c r="B11" s="241">
        <v>220715.82</v>
      </c>
      <c r="C11" s="241">
        <v>139258.92000000001</v>
      </c>
    </row>
    <row r="12" spans="1:3" x14ac:dyDescent="0.2">
      <c r="A12" t="s">
        <v>815</v>
      </c>
      <c r="B12" s="241">
        <v>176080.44</v>
      </c>
      <c r="C12" s="241">
        <v>53019.7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5457225.0000000009</v>
      </c>
      <c r="C13" s="232">
        <f>SUM(C10:C12)</f>
        <v>2319448.7600000002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5" t="s">
        <v>738</v>
      </c>
      <c r="C16" s="276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2133879.4200000004</v>
      </c>
      <c r="C18" s="230">
        <f>'DOE25'!G190+'DOE25'!G208+'DOE25'!G226+'DOE25'!G269+'DOE25'!G288+'DOE25'!G307</f>
        <v>1112099.4400000002</v>
      </c>
    </row>
    <row r="19" spans="1:3" x14ac:dyDescent="0.2">
      <c r="A19" t="s">
        <v>813</v>
      </c>
      <c r="B19" s="241">
        <v>1419985.46</v>
      </c>
      <c r="C19" s="241">
        <v>570525.24</v>
      </c>
    </row>
    <row r="20" spans="1:3" x14ac:dyDescent="0.2">
      <c r="A20" t="s">
        <v>814</v>
      </c>
      <c r="B20" s="241">
        <v>704722.44</v>
      </c>
      <c r="C20" s="241">
        <v>540813.94999999995</v>
      </c>
    </row>
    <row r="21" spans="1:3" x14ac:dyDescent="0.2">
      <c r="A21" t="s">
        <v>815</v>
      </c>
      <c r="B21" s="241">
        <v>9171.52</v>
      </c>
      <c r="C21" s="241">
        <v>760.25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2133879.42</v>
      </c>
      <c r="C22" s="232">
        <f>SUM(C19:C21)</f>
        <v>1112099.44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5" t="s">
        <v>739</v>
      </c>
      <c r="C25" s="276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5" t="s">
        <v>740</v>
      </c>
      <c r="C34" s="276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155690.10999999999</v>
      </c>
      <c r="C36" s="236">
        <f>'DOE25'!G192+'DOE25'!G210+'DOE25'!G228+'DOE25'!G271+'DOE25'!G290+'DOE25'!G309</f>
        <v>18731.18</v>
      </c>
    </row>
    <row r="37" spans="1:3" x14ac:dyDescent="0.2">
      <c r="A37" t="s">
        <v>813</v>
      </c>
      <c r="B37" s="241">
        <v>88789.119999999995</v>
      </c>
      <c r="C37" s="241">
        <v>13365.12</v>
      </c>
    </row>
    <row r="38" spans="1:3" x14ac:dyDescent="0.2">
      <c r="A38" t="s">
        <v>814</v>
      </c>
      <c r="B38" s="241">
        <v>6956.75</v>
      </c>
      <c r="C38" s="241">
        <v>1334.16</v>
      </c>
    </row>
    <row r="39" spans="1:3" x14ac:dyDescent="0.2">
      <c r="A39" t="s">
        <v>815</v>
      </c>
      <c r="B39" s="241">
        <v>59944.24</v>
      </c>
      <c r="C39" s="241">
        <v>4031.9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155690.10999999999</v>
      </c>
      <c r="C40" s="232">
        <f>SUM(C37:C39)</f>
        <v>18731.18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7028-B5D0-4582-BA00-6DEFB18517CA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RAYMOND SD</v>
      </c>
      <c r="C2" s="181"/>
      <c r="D2" s="181" t="s">
        <v>826</v>
      </c>
      <c r="E2" s="181" t="s">
        <v>828</v>
      </c>
      <c r="F2" s="277" t="s">
        <v>855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12389514.1</v>
      </c>
      <c r="D5" s="20">
        <f>SUM('DOE25'!L189:L192)+SUM('DOE25'!L207:L210)+SUM('DOE25'!L225:L228)-F5-G5</f>
        <v>12312740.039999999</v>
      </c>
      <c r="E5" s="244"/>
      <c r="F5" s="256">
        <f>SUM('DOE25'!J189:J192)+SUM('DOE25'!J207:J210)+SUM('DOE25'!J225:J228)</f>
        <v>49829.31</v>
      </c>
      <c r="G5" s="53">
        <f>SUM('DOE25'!K189:K192)+SUM('DOE25'!K207:K210)+SUM('DOE25'!K225:K228)</f>
        <v>26944.75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1240695.6600000001</v>
      </c>
      <c r="D6" s="20">
        <f>'DOE25'!L194+'DOE25'!L212+'DOE25'!L230-F6-G6</f>
        <v>1237490.08</v>
      </c>
      <c r="E6" s="244"/>
      <c r="F6" s="256">
        <f>'DOE25'!J194+'DOE25'!J212+'DOE25'!J230</f>
        <v>2915.59</v>
      </c>
      <c r="G6" s="53">
        <f>'DOE25'!K194+'DOE25'!K212+'DOE25'!K230</f>
        <v>289.99</v>
      </c>
      <c r="H6" s="260"/>
    </row>
    <row r="7" spans="1:9" x14ac:dyDescent="0.2">
      <c r="A7" s="32">
        <v>2200</v>
      </c>
      <c r="B7" t="s">
        <v>868</v>
      </c>
      <c r="C7" s="246">
        <f t="shared" si="0"/>
        <v>725766.93</v>
      </c>
      <c r="D7" s="20">
        <f>'DOE25'!L195+'DOE25'!L213+'DOE25'!L231-F7-G7</f>
        <v>613045.95000000007</v>
      </c>
      <c r="E7" s="244"/>
      <c r="F7" s="256">
        <f>'DOE25'!J195+'DOE25'!J213+'DOE25'!J231</f>
        <v>111797.15</v>
      </c>
      <c r="G7" s="53">
        <f>'DOE25'!K195+'DOE25'!K213+'DOE25'!K231</f>
        <v>923.83</v>
      </c>
      <c r="H7" s="260"/>
    </row>
    <row r="8" spans="1:9" x14ac:dyDescent="0.2">
      <c r="A8" s="32">
        <v>2300</v>
      </c>
      <c r="B8" t="s">
        <v>836</v>
      </c>
      <c r="C8" s="246">
        <f t="shared" si="0"/>
        <v>486301.27000000008</v>
      </c>
      <c r="D8" s="244"/>
      <c r="E8" s="20">
        <f>'DOE25'!L196+'DOE25'!L214+'DOE25'!L232-F8-G8-D9-D11</f>
        <v>466929.94000000006</v>
      </c>
      <c r="F8" s="256">
        <f>'DOE25'!J196+'DOE25'!J214+'DOE25'!J232</f>
        <v>2130.08</v>
      </c>
      <c r="G8" s="53">
        <f>'DOE25'!K196+'DOE25'!K214+'DOE25'!K232</f>
        <v>17241.25</v>
      </c>
      <c r="H8" s="260"/>
    </row>
    <row r="9" spans="1:9" x14ac:dyDescent="0.2">
      <c r="A9" s="32">
        <v>2310</v>
      </c>
      <c r="B9" t="s">
        <v>852</v>
      </c>
      <c r="C9" s="246">
        <f t="shared" si="0"/>
        <v>84156.38</v>
      </c>
      <c r="D9" s="245">
        <v>84156.38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17717.5</v>
      </c>
      <c r="D10" s="244"/>
      <c r="E10" s="245">
        <v>17717.5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220751.92</v>
      </c>
      <c r="D11" s="245">
        <v>220751.92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1243864.3</v>
      </c>
      <c r="D12" s="20">
        <f>'DOE25'!L197+'DOE25'!L215+'DOE25'!L233-F12-G12</f>
        <v>1236226.3</v>
      </c>
      <c r="E12" s="244"/>
      <c r="F12" s="256">
        <f>'DOE25'!J197+'DOE25'!J215+'DOE25'!J233</f>
        <v>0</v>
      </c>
      <c r="G12" s="53">
        <f>'DOE25'!K197+'DOE25'!K215+'DOE25'!K233</f>
        <v>7638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212528.62</v>
      </c>
      <c r="D13" s="244"/>
      <c r="E13" s="20">
        <f>'DOE25'!L198+'DOE25'!L216+'DOE25'!L234-F13-G13</f>
        <v>212193.62</v>
      </c>
      <c r="F13" s="256">
        <f>'DOE25'!J198+'DOE25'!J216+'DOE25'!J234</f>
        <v>0</v>
      </c>
      <c r="G13" s="53">
        <f>'DOE25'!K198+'DOE25'!K216+'DOE25'!K234</f>
        <v>335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1564073.1099999999</v>
      </c>
      <c r="D14" s="20">
        <f>'DOE25'!L199+'DOE25'!L217+'DOE25'!L235-F14-G14</f>
        <v>1545465.88</v>
      </c>
      <c r="E14" s="244"/>
      <c r="F14" s="256">
        <f>'DOE25'!J199+'DOE25'!J217+'DOE25'!J235</f>
        <v>18607.23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792217.59999999998</v>
      </c>
      <c r="D15" s="20">
        <f>'DOE25'!L200+'DOE25'!L218+'DOE25'!L236-F15-G15</f>
        <v>792217.59999999998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3921.87</v>
      </c>
      <c r="D16" s="244"/>
      <c r="E16" s="20">
        <f>'DOE25'!L201+'DOE25'!L219+'DOE25'!L237-F16-G16</f>
        <v>3921.87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19232.990000000002</v>
      </c>
      <c r="D19" s="20">
        <f>'DOE25'!L245-F19-G19</f>
        <v>19232.990000000002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1049789.54</v>
      </c>
      <c r="D25" s="244"/>
      <c r="E25" s="244"/>
      <c r="F25" s="259"/>
      <c r="G25" s="257"/>
      <c r="H25" s="258">
        <f>'DOE25'!L252+'DOE25'!L253+'DOE25'!L333+'DOE25'!L334</f>
        <v>1049789.54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381261.36</v>
      </c>
      <c r="D29" s="20">
        <f>'DOE25'!L350+'DOE25'!L351+'DOE25'!L352-'DOE25'!I359-F29-G29</f>
        <v>376739.12</v>
      </c>
      <c r="E29" s="244"/>
      <c r="F29" s="256">
        <f>'DOE25'!J350+'DOE25'!J351+'DOE25'!J352</f>
        <v>3358</v>
      </c>
      <c r="G29" s="53">
        <f>'DOE25'!K350+'DOE25'!K351+'DOE25'!K352</f>
        <v>1164.24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1280279.19</v>
      </c>
      <c r="D31" s="20">
        <f>'DOE25'!L282+'DOE25'!L301+'DOE25'!L320+'DOE25'!L325+'DOE25'!L326+'DOE25'!L327-F31-G31</f>
        <v>1153294.0899999999</v>
      </c>
      <c r="E31" s="244"/>
      <c r="F31" s="256">
        <f>'DOE25'!J282+'DOE25'!J301+'DOE25'!J320+'DOE25'!J325+'DOE25'!J326+'DOE25'!J327</f>
        <v>126985.09999999999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19591360.350000001</v>
      </c>
      <c r="E33" s="247">
        <f>SUM(E5:E31)</f>
        <v>700762.93</v>
      </c>
      <c r="F33" s="247">
        <f>SUM(F5:F31)</f>
        <v>315622.45999999996</v>
      </c>
      <c r="G33" s="247">
        <f>SUM(G5:G31)</f>
        <v>54537.060000000005</v>
      </c>
      <c r="H33" s="247">
        <f>SUM(H5:H31)</f>
        <v>1049789.54</v>
      </c>
    </row>
    <row r="35" spans="2:8" ht="12" thickBot="1" x14ac:dyDescent="0.25">
      <c r="B35" s="254" t="s">
        <v>881</v>
      </c>
      <c r="D35" s="255">
        <f>E33</f>
        <v>700762.93</v>
      </c>
      <c r="E35" s="250"/>
    </row>
    <row r="36" spans="2:8" ht="12" thickTop="1" x14ac:dyDescent="0.2">
      <c r="B36" t="s">
        <v>849</v>
      </c>
      <c r="D36" s="20">
        <f>D33</f>
        <v>19591360.350000001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38EA-3211-4731-81D3-DFE710E51A2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631240.67000000004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555586.12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9331.84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382188.73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18860.75</v>
      </c>
      <c r="E13" s="95">
        <f>'DOE25'!H13</f>
        <v>369489.31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11444.04</v>
      </c>
      <c r="D14" s="95">
        <f>'DOE25'!G14</f>
        <v>3519.36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1034205.28</v>
      </c>
      <c r="D19" s="41">
        <f>SUM(D9:D18)</f>
        <v>22380.11</v>
      </c>
      <c r="E19" s="41">
        <f>SUM(E9:E18)</f>
        <v>369489.31</v>
      </c>
      <c r="F19" s="41">
        <f>SUM(F9:F18)</f>
        <v>0</v>
      </c>
      <c r="G19" s="41">
        <f>SUM(G9:G18)</f>
        <v>555586.12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14199.94</v>
      </c>
      <c r="E22" s="95">
        <f>'DOE25'!H23</f>
        <v>367988.79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 t="str">
        <f>'DOE25'!G24</f>
        <v xml:space="preserve"> 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82015.199999999997</v>
      </c>
      <c r="D24" s="95">
        <f>'DOE25'!G25</f>
        <v>509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45695.14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101627.02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7671.17</v>
      </c>
      <c r="E30" s="95">
        <f>'DOE25'!H31</f>
        <v>1500.52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229337.36</v>
      </c>
      <c r="D32" s="41">
        <f>SUM(D22:D31)</f>
        <v>22380.11</v>
      </c>
      <c r="E32" s="41">
        <f>SUM(E22:E31)</f>
        <v>369489.31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7313.79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555586.12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797554.13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804867.92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555586.12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1034205.28</v>
      </c>
      <c r="D43" s="41">
        <f>D42+D32</f>
        <v>22380.11</v>
      </c>
      <c r="E43" s="41">
        <f>E42+E32</f>
        <v>369489.31</v>
      </c>
      <c r="F43" s="41">
        <f>F42+F32</f>
        <v>0</v>
      </c>
      <c r="G43" s="41">
        <f>G42+G32</f>
        <v>555586.12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11050166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205500.28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3633.04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13021.58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398311.13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461.76</v>
      </c>
      <c r="D53" s="95">
        <f>SUM('DOE25'!G90:G102)</f>
        <v>11210.67</v>
      </c>
      <c r="E53" s="95">
        <f>SUM('DOE25'!H90:H102)</f>
        <v>0</v>
      </c>
      <c r="F53" s="95">
        <f>SUM('DOE25'!I90:I102)</f>
        <v>0</v>
      </c>
      <c r="G53" s="95">
        <f>SUM('DOE25'!J90:J102)</f>
        <v>2000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209595.08000000002</v>
      </c>
      <c r="D54" s="130">
        <f>SUM(D49:D53)</f>
        <v>409521.8</v>
      </c>
      <c r="E54" s="130">
        <f>SUM(E49:E53)</f>
        <v>0</v>
      </c>
      <c r="F54" s="130">
        <f>SUM(F49:F53)</f>
        <v>0</v>
      </c>
      <c r="G54" s="130">
        <f>SUM(G49:G53)</f>
        <v>15021.58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11259761.08</v>
      </c>
      <c r="D55" s="22">
        <f>D48+D54</f>
        <v>409521.8</v>
      </c>
      <c r="E55" s="22">
        <f>E48+E54</f>
        <v>0</v>
      </c>
      <c r="F55" s="22">
        <f>F48+F54</f>
        <v>0</v>
      </c>
      <c r="G55" s="22">
        <f>G48+G54</f>
        <v>15021.58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4086611.47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2060901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1567906.53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7715419.0000000009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503664.45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385652.24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21259.200000000001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9600</v>
      </c>
      <c r="D69" s="95">
        <f>SUM('DOE25'!G123:G127)</f>
        <v>5865.92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920175.8899999999</v>
      </c>
      <c r="D70" s="130">
        <f>SUM(D64:D69)</f>
        <v>5865.92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8635594.8900000006</v>
      </c>
      <c r="D73" s="130">
        <f>SUM(D71:D72)+D70+D62</f>
        <v>5865.92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231878.72</v>
      </c>
      <c r="D80" s="95">
        <f>SUM('DOE25'!G145:G153)</f>
        <v>168011.39</v>
      </c>
      <c r="E80" s="95">
        <f>SUM('DOE25'!H145:H153)</f>
        <v>1327468.29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231878.72</v>
      </c>
      <c r="D83" s="131">
        <f>SUM(D77:D82)</f>
        <v>168011.39</v>
      </c>
      <c r="E83" s="131">
        <f>SUM(E77:E82)</f>
        <v>1327468.29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24739.87</v>
      </c>
      <c r="E88" s="95">
        <f>'DOE25'!H171</f>
        <v>0</v>
      </c>
      <c r="F88" s="95">
        <f>'DOE25'!I171</f>
        <v>0</v>
      </c>
      <c r="G88" s="95">
        <f>'DOE25'!J171</f>
        <v>221997</v>
      </c>
    </row>
    <row r="89" spans="1:7" x14ac:dyDescent="0.2">
      <c r="A89" t="s">
        <v>790</v>
      </c>
      <c r="B89" s="32" t="s">
        <v>211</v>
      </c>
      <c r="C89" s="95">
        <f>SUM('DOE25'!F172:F173)</f>
        <v>47189.1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47189.1</v>
      </c>
      <c r="D95" s="86">
        <f>SUM(D85:D94)</f>
        <v>24739.87</v>
      </c>
      <c r="E95" s="86">
        <f>SUM(E85:E94)</f>
        <v>0</v>
      </c>
      <c r="F95" s="86">
        <f>SUM(F85:F94)</f>
        <v>0</v>
      </c>
      <c r="G95" s="86">
        <f>SUM(G85:G94)</f>
        <v>221997</v>
      </c>
    </row>
    <row r="96" spans="1:7" ht="12.75" thickTop="1" thickBot="1" x14ac:dyDescent="0.25">
      <c r="A96" s="33" t="s">
        <v>797</v>
      </c>
      <c r="C96" s="86">
        <f>C55+C73+C83+C95</f>
        <v>20174423.789999999</v>
      </c>
      <c r="D96" s="86">
        <f>D55+D73+D83+D95</f>
        <v>608138.98</v>
      </c>
      <c r="E96" s="86">
        <f>E55+E73+E83+E95</f>
        <v>1327468.29</v>
      </c>
      <c r="F96" s="86">
        <f>F55+F73+F83+F95</f>
        <v>0</v>
      </c>
      <c r="G96" s="86">
        <f>G55+G73+G95</f>
        <v>237018.58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7755189.2899999991</v>
      </c>
      <c r="D101" s="24" t="s">
        <v>312</v>
      </c>
      <c r="E101" s="95">
        <f>('DOE25'!L268)+('DOE25'!L287)+('DOE25'!L306)</f>
        <v>479037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4252738.26</v>
      </c>
      <c r="D102" s="24" t="s">
        <v>312</v>
      </c>
      <c r="E102" s="95">
        <f>('DOE25'!L269)+('DOE25'!L288)+('DOE25'!L307)</f>
        <v>528249.93999999994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187007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194579.55</v>
      </c>
      <c r="D104" s="24" t="s">
        <v>312</v>
      </c>
      <c r="E104" s="95">
        <f>+('DOE25'!L271)+('DOE25'!L290)+('DOE25'!L309)</f>
        <v>32793.279999999999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19232.990000000002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12408747.09</v>
      </c>
      <c r="D107" s="86">
        <f>SUM(D101:D106)</f>
        <v>0</v>
      </c>
      <c r="E107" s="86">
        <f>SUM(E101:E106)</f>
        <v>1040080.22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1240695.6600000001</v>
      </c>
      <c r="D110" s="24" t="s">
        <v>312</v>
      </c>
      <c r="E110" s="95">
        <f>+('DOE25'!L273)+('DOE25'!L292)+('DOE25'!L311)</f>
        <v>12040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725766.93</v>
      </c>
      <c r="D111" s="24" t="s">
        <v>312</v>
      </c>
      <c r="E111" s="95">
        <f>+('DOE25'!L274)+('DOE25'!L293)+('DOE25'!L312)</f>
        <v>225230.43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791209.57000000007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1243864.3</v>
      </c>
      <c r="D113" s="24" t="s">
        <v>312</v>
      </c>
      <c r="E113" s="95">
        <f>+('DOE25'!L276)+('DOE25'!L295)+('DOE25'!L314)</f>
        <v>2928.54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212528.62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1564073.1099999999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792217.59999999998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3921.87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608138.98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6574277.6599999992</v>
      </c>
      <c r="D120" s="86">
        <f>SUM(D110:D119)</f>
        <v>608138.98</v>
      </c>
      <c r="E120" s="86">
        <f>SUM(E110:E119)</f>
        <v>240198.97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870944.18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178845.36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47189.1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24739.87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234421.95999999996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2596.62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-15021.579999999958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3498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1300024.4100000001</v>
      </c>
      <c r="D136" s="141">
        <f>SUM(D122:D135)</f>
        <v>0</v>
      </c>
      <c r="E136" s="141">
        <f>SUM(E122:E135)</f>
        <v>47189.1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20283049.16</v>
      </c>
      <c r="D137" s="86">
        <f>(D107+D120+D136)</f>
        <v>608138.98</v>
      </c>
      <c r="E137" s="86">
        <f>(E107+E120+E136)</f>
        <v>1327468.29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08/05</v>
      </c>
      <c r="C144" s="152" t="str">
        <f>'DOE25'!G481</f>
        <v>10/03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08/25</v>
      </c>
      <c r="C145" s="152" t="str">
        <f>'DOE25'!G482</f>
        <v>10/13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13402490</v>
      </c>
      <c r="C146" s="137">
        <f>'DOE25'!G483</f>
        <v>246250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4.13</v>
      </c>
      <c r="C147" s="137">
        <f>'DOE25'!G484</f>
        <v>4.3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10288764.51</v>
      </c>
      <c r="C148" s="137">
        <f>'DOE25'!G485</f>
        <v>123125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10411889.51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846319.18</v>
      </c>
      <c r="C150" s="137">
        <f>'DOE25'!G487</f>
        <v>24625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870944.18</v>
      </c>
    </row>
    <row r="151" spans="1:7" x14ac:dyDescent="0.2">
      <c r="A151" s="22" t="s">
        <v>35</v>
      </c>
      <c r="B151" s="137">
        <f>'DOE25'!F488</f>
        <v>9442445.3300000001</v>
      </c>
      <c r="C151" s="137">
        <f>'DOE25'!G488</f>
        <v>98500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9540945.3300000001</v>
      </c>
    </row>
    <row r="152" spans="1:7" x14ac:dyDescent="0.2">
      <c r="A152" s="22" t="s">
        <v>36</v>
      </c>
      <c r="B152" s="137">
        <f>'DOE25'!F489</f>
        <v>6837919.6699999999</v>
      </c>
      <c r="C152" s="137">
        <f>'DOE25'!G489</f>
        <v>10588.76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6848508.4299999997</v>
      </c>
    </row>
    <row r="153" spans="1:7" x14ac:dyDescent="0.2">
      <c r="A153" s="22" t="s">
        <v>37</v>
      </c>
      <c r="B153" s="137">
        <f>'DOE25'!F490</f>
        <v>16280365</v>
      </c>
      <c r="C153" s="137">
        <f>'DOE25'!G490</f>
        <v>109088.76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16389453.76</v>
      </c>
    </row>
    <row r="154" spans="1:7" x14ac:dyDescent="0.2">
      <c r="A154" s="22" t="s">
        <v>38</v>
      </c>
      <c r="B154" s="137">
        <f>'DOE25'!F491</f>
        <v>806308.05</v>
      </c>
      <c r="C154" s="137">
        <f>'DOE25'!G491</f>
        <v>24625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830933.05</v>
      </c>
    </row>
    <row r="155" spans="1:7" x14ac:dyDescent="0.2">
      <c r="A155" s="22" t="s">
        <v>39</v>
      </c>
      <c r="B155" s="137">
        <f>'DOE25'!F492</f>
        <v>209531.95</v>
      </c>
      <c r="C155" s="137">
        <f>'DOE25'!G492</f>
        <v>4235.5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213767.45</v>
      </c>
    </row>
    <row r="156" spans="1:7" x14ac:dyDescent="0.2">
      <c r="A156" s="22" t="s">
        <v>269</v>
      </c>
      <c r="B156" s="137">
        <f>'DOE25'!F493</f>
        <v>1015840</v>
      </c>
      <c r="C156" s="137">
        <f>'DOE25'!G493</f>
        <v>28860.5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1044700.5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018B-6D1F-4084-A934-2BDF22D05F65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772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RAYMOND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11896</v>
      </c>
    </row>
    <row r="5" spans="1:4" x14ac:dyDescent="0.2">
      <c r="B5" t="s">
        <v>735</v>
      </c>
      <c r="C5" s="179">
        <f>IF('DOE25'!G655+'DOE25'!G660=0,0,ROUND('DOE25'!G662,0))</f>
        <v>13048</v>
      </c>
    </row>
    <row r="6" spans="1:4" x14ac:dyDescent="0.2">
      <c r="B6" t="s">
        <v>62</v>
      </c>
      <c r="C6" s="179">
        <f>IF('DOE25'!H655+'DOE25'!H660=0,0,ROUND('DOE25'!H662,0))</f>
        <v>14427</v>
      </c>
    </row>
    <row r="7" spans="1:4" x14ac:dyDescent="0.2">
      <c r="B7" t="s">
        <v>736</v>
      </c>
      <c r="C7" s="179">
        <f>IF('DOE25'!I655+'DOE25'!I660=0,0,ROUND('DOE25'!I662,0))</f>
        <v>13020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8234226</v>
      </c>
      <c r="D10" s="182">
        <f>ROUND((C10/$C$28)*100,1)</f>
        <v>39.9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4780988</v>
      </c>
      <c r="D11" s="182">
        <f>ROUND((C11/$C$28)*100,1)</f>
        <v>23.2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187007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227373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1252736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950997</v>
      </c>
      <c r="D16" s="182">
        <f t="shared" si="0"/>
        <v>4.5999999999999996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795131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1246793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212529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1564073</v>
      </c>
      <c r="D20" s="182">
        <f t="shared" si="0"/>
        <v>7.6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792218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19233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178845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3498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198617.2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20644264.199999999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20644264.199999999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870944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11050166</v>
      </c>
      <c r="D35" s="182">
        <f t="shared" ref="D35:D40" si="1">ROUND((C35/$C$41)*100,1)</f>
        <v>51.1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224616.66000000015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6147512</v>
      </c>
      <c r="D37" s="182">
        <f t="shared" si="1"/>
        <v>28.4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2493948</v>
      </c>
      <c r="D38" s="182">
        <f t="shared" si="1"/>
        <v>11.5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1727358</v>
      </c>
      <c r="D39" s="182">
        <f t="shared" si="1"/>
        <v>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21643600.66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96E6-7D6A-4689-B70E-7DF6B104B11B}">
  <sheetPr>
    <tabColor indexed="17"/>
  </sheetPr>
  <dimension ref="A1:IV90"/>
  <sheetViews>
    <sheetView workbookViewId="0">
      <pane ySplit="3" topLeftCell="A4" activePane="bottomLeft" state="frozen"/>
      <selection pane="bottomLeft" activeCell="A16" sqref="A16:M1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RAYMOND SD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2</v>
      </c>
      <c r="B5" s="220">
        <v>3</v>
      </c>
      <c r="C5" s="286" t="s">
        <v>906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 t="s">
        <v>310</v>
      </c>
      <c r="B6" s="220" t="s">
        <v>310</v>
      </c>
      <c r="C6" s="286" t="s">
        <v>310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3</v>
      </c>
      <c r="B7" s="220">
        <v>24</v>
      </c>
      <c r="C7" s="286" t="s">
        <v>899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71" t="s">
        <v>900</v>
      </c>
      <c r="D8" s="271"/>
      <c r="E8" s="271"/>
      <c r="F8" s="271"/>
      <c r="G8" s="271"/>
      <c r="H8" s="271"/>
      <c r="I8" s="271"/>
      <c r="J8" s="271"/>
      <c r="K8" s="271"/>
      <c r="L8" s="271"/>
      <c r="M8" s="27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 t="s">
        <v>310</v>
      </c>
      <c r="B9" s="220" t="s">
        <v>310</v>
      </c>
      <c r="C9" s="271" t="s">
        <v>903</v>
      </c>
      <c r="D9" s="271"/>
      <c r="E9" s="271"/>
      <c r="F9" s="271"/>
      <c r="G9" s="271"/>
      <c r="H9" s="271"/>
      <c r="I9" s="271"/>
      <c r="J9" s="271"/>
      <c r="K9" s="271"/>
      <c r="L9" s="271"/>
      <c r="M9" s="27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71" t="s">
        <v>310</v>
      </c>
      <c r="D10" s="271"/>
      <c r="E10" s="271"/>
      <c r="F10" s="271"/>
      <c r="G10" s="271"/>
      <c r="H10" s="271"/>
      <c r="I10" s="271"/>
      <c r="J10" s="271"/>
      <c r="K10" s="271"/>
      <c r="L10" s="271"/>
      <c r="M10" s="27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>
        <v>5</v>
      </c>
      <c r="B11" s="220">
        <v>14</v>
      </c>
      <c r="C11" s="271" t="s">
        <v>901</v>
      </c>
      <c r="D11" s="271"/>
      <c r="E11" s="271"/>
      <c r="F11" s="271"/>
      <c r="G11" s="271"/>
      <c r="H11" s="271"/>
      <c r="I11" s="271"/>
      <c r="J11" s="271"/>
      <c r="K11" s="271"/>
      <c r="L11" s="271"/>
      <c r="M11" s="27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 t="s">
        <v>310</v>
      </c>
      <c r="B12" s="220" t="s">
        <v>310</v>
      </c>
      <c r="C12" s="271" t="s">
        <v>310</v>
      </c>
      <c r="D12" s="271"/>
      <c r="E12" s="271"/>
      <c r="F12" s="271"/>
      <c r="G12" s="271"/>
      <c r="H12" s="271"/>
      <c r="I12" s="271"/>
      <c r="J12" s="271"/>
      <c r="K12" s="271"/>
      <c r="L12" s="271"/>
      <c r="M12" s="27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>
        <v>6</v>
      </c>
      <c r="B13" s="220">
        <v>8</v>
      </c>
      <c r="C13" s="271" t="s">
        <v>907</v>
      </c>
      <c r="D13" s="271"/>
      <c r="E13" s="271"/>
      <c r="F13" s="271"/>
      <c r="G13" s="271"/>
      <c r="H13" s="271"/>
      <c r="I13" s="271"/>
      <c r="J13" s="271"/>
      <c r="K13" s="271"/>
      <c r="L13" s="271"/>
      <c r="M13" s="27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 t="s">
        <v>310</v>
      </c>
      <c r="B14" s="220" t="s">
        <v>310</v>
      </c>
      <c r="C14" s="271" t="s">
        <v>310</v>
      </c>
      <c r="D14" s="271"/>
      <c r="E14" s="271"/>
      <c r="F14" s="271"/>
      <c r="G14" s="271"/>
      <c r="H14" s="271"/>
      <c r="I14" s="271"/>
      <c r="J14" s="271"/>
      <c r="K14" s="271"/>
      <c r="L14" s="271"/>
      <c r="M14" s="27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>
        <v>14</v>
      </c>
      <c r="B15" s="220">
        <v>10</v>
      </c>
      <c r="C15" s="271" t="s">
        <v>904</v>
      </c>
      <c r="D15" s="271"/>
      <c r="E15" s="271"/>
      <c r="F15" s="271"/>
      <c r="G15" s="271"/>
      <c r="H15" s="271"/>
      <c r="I15" s="271"/>
      <c r="J15" s="271"/>
      <c r="K15" s="271"/>
      <c r="L15" s="271"/>
      <c r="M15" s="27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6" t="s">
        <v>902</v>
      </c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4"/>
      <c r="O32" s="224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9"/>
      <c r="AB32" s="220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9"/>
      <c r="AO32" s="220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9"/>
      <c r="BB32" s="220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9"/>
      <c r="BO32" s="220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9"/>
      <c r="CB32" s="220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9"/>
      <c r="CO32" s="220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9"/>
      <c r="DB32" s="220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9"/>
      <c r="DO32" s="220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9"/>
      <c r="EB32" s="220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9"/>
      <c r="EO32" s="220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9"/>
      <c r="FB32" s="220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9"/>
      <c r="FO32" s="220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9"/>
      <c r="GB32" s="220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9"/>
      <c r="GO32" s="220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9"/>
      <c r="HB32" s="220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9"/>
      <c r="HO32" s="220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9"/>
      <c r="IB32" s="220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9"/>
      <c r="IO32" s="220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9"/>
      <c r="B33" s="220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9"/>
      <c r="B60" s="220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9"/>
      <c r="B61" s="220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9"/>
      <c r="B62" s="220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9"/>
      <c r="B63" s="220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9"/>
      <c r="B64" s="220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9"/>
      <c r="B65" s="220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9"/>
      <c r="B66" s="220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9"/>
      <c r="B67" s="220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9"/>
      <c r="B68" s="220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9"/>
      <c r="B69" s="22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15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HP39:HZ39"/>
    <mergeCell ref="IC39:IM39"/>
    <mergeCell ref="IP39:IV39"/>
    <mergeCell ref="HC39:HM39"/>
    <mergeCell ref="DC39:DM39"/>
    <mergeCell ref="DP39:DZ39"/>
    <mergeCell ref="EC39:EM39"/>
    <mergeCell ref="EP39:EZ39"/>
    <mergeCell ref="FC39:FM39"/>
    <mergeCell ref="FP39:FZ39"/>
    <mergeCell ref="CC39:CM39"/>
    <mergeCell ref="CP39:CZ39"/>
    <mergeCell ref="C51:M51"/>
    <mergeCell ref="P39:Z39"/>
    <mergeCell ref="AC39:AM39"/>
    <mergeCell ref="AP39:AZ39"/>
    <mergeCell ref="GC38:GM38"/>
    <mergeCell ref="GP38:GZ38"/>
    <mergeCell ref="HC38:HM38"/>
    <mergeCell ref="HP38:HZ38"/>
    <mergeCell ref="IC38:IM38"/>
    <mergeCell ref="IP38:IV38"/>
    <mergeCell ref="DC38:DM38"/>
    <mergeCell ref="DP38:DZ38"/>
    <mergeCell ref="EC38:EM38"/>
    <mergeCell ref="EP38:EZ38"/>
    <mergeCell ref="FC38:FM38"/>
    <mergeCell ref="FP38:FZ38"/>
    <mergeCell ref="DC32:DM32"/>
    <mergeCell ref="DP32:DZ32"/>
    <mergeCell ref="EC32:EM32"/>
    <mergeCell ref="EP32:EZ32"/>
    <mergeCell ref="BP32:BZ32"/>
    <mergeCell ref="BC38:BM38"/>
    <mergeCell ref="BP38:BZ38"/>
    <mergeCell ref="CC38:CM38"/>
    <mergeCell ref="CC32:CM32"/>
    <mergeCell ref="CP38:CZ38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P40:Z40"/>
    <mergeCell ref="AC40:AM40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FP31:FZ31"/>
    <mergeCell ref="GC31:GM31"/>
    <mergeCell ref="GP31:GZ31"/>
    <mergeCell ref="HC31:HM31"/>
    <mergeCell ref="HP31:HZ31"/>
    <mergeCell ref="IC31:IM31"/>
    <mergeCell ref="CP31:CZ31"/>
    <mergeCell ref="DC31:DM31"/>
    <mergeCell ref="DP31:DZ31"/>
    <mergeCell ref="EC31:EM31"/>
    <mergeCell ref="EP31:EZ31"/>
    <mergeCell ref="FC31:FM31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EC30:EM30"/>
    <mergeCell ref="EP30:EZ30"/>
    <mergeCell ref="FC30:FM30"/>
    <mergeCell ref="FP30:FZ30"/>
    <mergeCell ref="GC30:GM30"/>
    <mergeCell ref="GP30:GZ30"/>
    <mergeCell ref="BC30:BM30"/>
    <mergeCell ref="BP30:BZ30"/>
    <mergeCell ref="CC30:CM30"/>
    <mergeCell ref="CP30:CZ30"/>
    <mergeCell ref="DC30:DM30"/>
    <mergeCell ref="DP30:DZ30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A2:E2"/>
    <mergeCell ref="A1:I1"/>
    <mergeCell ref="C3:M3"/>
    <mergeCell ref="C4:M4"/>
    <mergeCell ref="F2:I2"/>
    <mergeCell ref="P29:Z29"/>
    <mergeCell ref="C5:M5"/>
    <mergeCell ref="C6:M6"/>
    <mergeCell ref="C7:M7"/>
    <mergeCell ref="C34:M34"/>
    <mergeCell ref="C27:M27"/>
    <mergeCell ref="C28:M28"/>
    <mergeCell ref="C21:M21"/>
    <mergeCell ref="C22:M22"/>
    <mergeCell ref="C23:M23"/>
    <mergeCell ref="C24:M24"/>
    <mergeCell ref="C16:M16"/>
    <mergeCell ref="C17:M17"/>
    <mergeCell ref="C18:M18"/>
    <mergeCell ref="C19:M19"/>
    <mergeCell ref="C20:M20"/>
    <mergeCell ref="C29:M29"/>
    <mergeCell ref="C25:M25"/>
    <mergeCell ref="C26:M26"/>
    <mergeCell ref="C62:M62"/>
    <mergeCell ref="C63:M63"/>
    <mergeCell ref="C64:M64"/>
    <mergeCell ref="C65:M65"/>
    <mergeCell ref="C35:M35"/>
    <mergeCell ref="C36:M36"/>
    <mergeCell ref="C37:M37"/>
    <mergeCell ref="C38:M38"/>
    <mergeCell ref="C39:M39"/>
    <mergeCell ref="C40:M40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2010-08-24T12:56:09Z</cp:lastPrinted>
  <dcterms:created xsi:type="dcterms:W3CDTF">1997-12-04T19:04:30Z</dcterms:created>
  <dcterms:modified xsi:type="dcterms:W3CDTF">2025-01-09T20:25:44Z</dcterms:modified>
</cp:coreProperties>
</file>