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E48A4BB7-5E84-451B-B71C-C7E9B58ADD43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066EB779-1C8E-4096-A7AA-D8D67A5332C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119" i="1"/>
  <c r="F109" i="1"/>
  <c r="F352" i="1"/>
  <c r="L352" i="1" s="1"/>
  <c r="H651" i="1" s="1"/>
  <c r="C37" i="12"/>
  <c r="C39" i="12"/>
  <c r="C38" i="12"/>
  <c r="C40" i="12" s="1"/>
  <c r="B37" i="12"/>
  <c r="B39" i="12"/>
  <c r="C28" i="12"/>
  <c r="B28" i="12"/>
  <c r="C19" i="12"/>
  <c r="B19" i="12"/>
  <c r="B21" i="12"/>
  <c r="B20" i="12"/>
  <c r="B22" i="12" s="1"/>
  <c r="C10" i="12"/>
  <c r="C11" i="12"/>
  <c r="B10" i="12"/>
  <c r="B13" i="12" s="1"/>
  <c r="B12" i="12"/>
  <c r="B11" i="12"/>
  <c r="J195" i="1"/>
  <c r="F225" i="1"/>
  <c r="G243" i="1"/>
  <c r="F243" i="1"/>
  <c r="F248" i="1" s="1"/>
  <c r="L248" i="1" s="1"/>
  <c r="H25" i="1"/>
  <c r="K315" i="1"/>
  <c r="F113" i="1"/>
  <c r="F132" i="1" s="1"/>
  <c r="C38" i="10" s="1"/>
  <c r="F128" i="1"/>
  <c r="F71" i="1"/>
  <c r="F102" i="1"/>
  <c r="F137" i="1"/>
  <c r="F139" i="1" s="1"/>
  <c r="C60" i="2"/>
  <c r="B2" i="13"/>
  <c r="F8" i="13"/>
  <c r="G8" i="13"/>
  <c r="L196" i="1"/>
  <c r="L214" i="1"/>
  <c r="E8" i="13" s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L203" i="1" s="1"/>
  <c r="L191" i="1"/>
  <c r="L192" i="1"/>
  <c r="L207" i="1"/>
  <c r="L208" i="1"/>
  <c r="L209" i="1"/>
  <c r="L210" i="1"/>
  <c r="L225" i="1"/>
  <c r="L226" i="1"/>
  <c r="L227" i="1"/>
  <c r="L239" i="1" s="1"/>
  <c r="L228" i="1"/>
  <c r="F6" i="13"/>
  <c r="G6" i="13"/>
  <c r="G33" i="13" s="1"/>
  <c r="L194" i="1"/>
  <c r="L212" i="1"/>
  <c r="D6" i="13" s="1"/>
  <c r="C6" i="13" s="1"/>
  <c r="L230" i="1"/>
  <c r="F7" i="13"/>
  <c r="G7" i="13"/>
  <c r="L195" i="1"/>
  <c r="D7" i="13" s="1"/>
  <c r="C7" i="13" s="1"/>
  <c r="L213" i="1"/>
  <c r="C16" i="10" s="1"/>
  <c r="L231" i="1"/>
  <c r="F12" i="13"/>
  <c r="G12" i="13"/>
  <c r="L197" i="1"/>
  <c r="L215" i="1"/>
  <c r="C18" i="10" s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L218" i="1"/>
  <c r="D15" i="13" s="1"/>
  <c r="C15" i="13" s="1"/>
  <c r="L236" i="1"/>
  <c r="F17" i="13"/>
  <c r="G17" i="13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1" i="1"/>
  <c r="D119" i="2" s="1"/>
  <c r="D120" i="2" s="1"/>
  <c r="D137" i="2" s="1"/>
  <c r="I359" i="1"/>
  <c r="J282" i="1"/>
  <c r="F31" i="13" s="1"/>
  <c r="J301" i="1"/>
  <c r="J320" i="1"/>
  <c r="K282" i="1"/>
  <c r="G31" i="13" s="1"/>
  <c r="K301" i="1"/>
  <c r="K320" i="1"/>
  <c r="L268" i="1"/>
  <c r="E101" i="2" s="1"/>
  <c r="E107" i="2" s="1"/>
  <c r="L269" i="1"/>
  <c r="L270" i="1"/>
  <c r="L271" i="1"/>
  <c r="C13" i="10" s="1"/>
  <c r="L273" i="1"/>
  <c r="C15" i="10" s="1"/>
  <c r="L274" i="1"/>
  <c r="L275" i="1"/>
  <c r="L276" i="1"/>
  <c r="L277" i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C17" i="10" s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L325" i="1"/>
  <c r="L326" i="1"/>
  <c r="L327" i="1"/>
  <c r="L252" i="1"/>
  <c r="H25" i="13" s="1"/>
  <c r="L253" i="1"/>
  <c r="L333" i="1"/>
  <c r="E123" i="2" s="1"/>
  <c r="L334" i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B27" i="12"/>
  <c r="C27" i="12"/>
  <c r="A31" i="12" s="1"/>
  <c r="B31" i="12"/>
  <c r="C31" i="12"/>
  <c r="B9" i="12"/>
  <c r="C9" i="12"/>
  <c r="C13" i="12"/>
  <c r="B18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1" i="2"/>
  <c r="G53" i="2"/>
  <c r="G54" i="2" s="1"/>
  <c r="F2" i="11"/>
  <c r="L603" i="1"/>
  <c r="H653" i="1" s="1"/>
  <c r="L602" i="1"/>
  <c r="G653" i="1" s="1"/>
  <c r="L601" i="1"/>
  <c r="F653" i="1"/>
  <c r="I653" i="1" s="1"/>
  <c r="C40" i="10"/>
  <c r="F52" i="1"/>
  <c r="F104" i="1" s="1"/>
  <c r="G52" i="1"/>
  <c r="G104" i="1" s="1"/>
  <c r="H52" i="1"/>
  <c r="H104" i="1" s="1"/>
  <c r="H185" i="1" s="1"/>
  <c r="I52" i="1"/>
  <c r="F86" i="1"/>
  <c r="C50" i="2" s="1"/>
  <c r="C54" i="2" s="1"/>
  <c r="C55" i="2" s="1"/>
  <c r="F103" i="1"/>
  <c r="G103" i="1"/>
  <c r="H71" i="1"/>
  <c r="H86" i="1"/>
  <c r="E50" i="2" s="1"/>
  <c r="H103" i="1"/>
  <c r="I103" i="1"/>
  <c r="I104" i="1" s="1"/>
  <c r="J103" i="1"/>
  <c r="C37" i="10"/>
  <c r="G113" i="1"/>
  <c r="G132" i="1" s="1"/>
  <c r="G128" i="1"/>
  <c r="H113" i="1"/>
  <c r="H132" i="1" s="1"/>
  <c r="H128" i="1"/>
  <c r="I113" i="1"/>
  <c r="I132" i="1" s="1"/>
  <c r="I128" i="1"/>
  <c r="J113" i="1"/>
  <c r="J132" i="1" s="1"/>
  <c r="J128" i="1"/>
  <c r="F154" i="1"/>
  <c r="G139" i="1"/>
  <c r="D77" i="2" s="1"/>
  <c r="D83" i="2" s="1"/>
  <c r="G154" i="1"/>
  <c r="H139" i="1"/>
  <c r="H154" i="1"/>
  <c r="H161" i="1"/>
  <c r="I139" i="1"/>
  <c r="F77" i="2" s="1"/>
  <c r="F83" i="2" s="1"/>
  <c r="I154" i="1"/>
  <c r="I161" i="1"/>
  <c r="L242" i="1"/>
  <c r="C23" i="10" s="1"/>
  <c r="L324" i="1"/>
  <c r="E105" i="2" s="1"/>
  <c r="L246" i="1"/>
  <c r="C116" i="2" s="1"/>
  <c r="C25" i="10"/>
  <c r="L260" i="1"/>
  <c r="C134" i="2" s="1"/>
  <c r="L261" i="1"/>
  <c r="L341" i="1"/>
  <c r="L342" i="1"/>
  <c r="I655" i="1"/>
  <c r="I660" i="1"/>
  <c r="F652" i="1"/>
  <c r="I652" i="1" s="1"/>
  <c r="G652" i="1"/>
  <c r="I659" i="1"/>
  <c r="C42" i="10"/>
  <c r="C32" i="10"/>
  <c r="L366" i="1"/>
  <c r="L367" i="1"/>
  <c r="L368" i="1"/>
  <c r="C29" i="10" s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F542" i="1" s="1"/>
  <c r="L512" i="1"/>
  <c r="F540" i="1"/>
  <c r="K540" i="1" s="1"/>
  <c r="L513" i="1"/>
  <c r="F541" i="1"/>
  <c r="L516" i="1"/>
  <c r="L519" i="1" s="1"/>
  <c r="L517" i="1"/>
  <c r="G540" i="1"/>
  <c r="L518" i="1"/>
  <c r="G541" i="1"/>
  <c r="L521" i="1"/>
  <c r="H539" i="1"/>
  <c r="H542" i="1" s="1"/>
  <c r="L522" i="1"/>
  <c r="H540" i="1"/>
  <c r="L523" i="1"/>
  <c r="H541" i="1" s="1"/>
  <c r="L526" i="1"/>
  <c r="I539" i="1"/>
  <c r="L527" i="1"/>
  <c r="I540" i="1"/>
  <c r="L528" i="1"/>
  <c r="L529" i="1" s="1"/>
  <c r="L531" i="1"/>
  <c r="J539" i="1"/>
  <c r="L532" i="1"/>
  <c r="J540" i="1" s="1"/>
  <c r="J542" i="1" s="1"/>
  <c r="L533" i="1"/>
  <c r="J541" i="1"/>
  <c r="E124" i="2"/>
  <c r="K262" i="1"/>
  <c r="J262" i="1"/>
  <c r="I262" i="1"/>
  <c r="H262" i="1"/>
  <c r="G262" i="1"/>
  <c r="F262" i="1"/>
  <c r="C124" i="2"/>
  <c r="C123" i="2"/>
  <c r="A1" i="2"/>
  <c r="A2" i="2"/>
  <c r="C9" i="2"/>
  <c r="C19" i="2" s="1"/>
  <c r="D9" i="2"/>
  <c r="E9" i="2"/>
  <c r="F9" i="2"/>
  <c r="I431" i="1"/>
  <c r="J9" i="1" s="1"/>
  <c r="C10" i="2"/>
  <c r="D10" i="2"/>
  <c r="E10" i="2"/>
  <c r="F10" i="2"/>
  <c r="I432" i="1"/>
  <c r="J10" i="1"/>
  <c r="G10" i="2" s="1"/>
  <c r="C11" i="2"/>
  <c r="C12" i="2"/>
  <c r="D12" i="2"/>
  <c r="D19" i="2" s="1"/>
  <c r="E12" i="2"/>
  <c r="F12" i="2"/>
  <c r="I433" i="1"/>
  <c r="J12" i="1" s="1"/>
  <c r="G12" i="2" s="1"/>
  <c r="C13" i="2"/>
  <c r="D13" i="2"/>
  <c r="E13" i="2"/>
  <c r="E19" i="2" s="1"/>
  <c r="F13" i="2"/>
  <c r="I434" i="1"/>
  <c r="J13" i="1"/>
  <c r="G13" i="2" s="1"/>
  <c r="C14" i="2"/>
  <c r="D14" i="2"/>
  <c r="E14" i="2"/>
  <c r="F14" i="2"/>
  <c r="I435" i="1"/>
  <c r="J14" i="1"/>
  <c r="G14" i="2" s="1"/>
  <c r="F15" i="2"/>
  <c r="F19" i="2" s="1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D23" i="2"/>
  <c r="D32" i="2" s="1"/>
  <c r="E23" i="2"/>
  <c r="E32" i="2" s="1"/>
  <c r="F23" i="2"/>
  <c r="F32" i="2" s="1"/>
  <c r="I441" i="1"/>
  <c r="J24" i="1"/>
  <c r="G23" i="2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2" i="2"/>
  <c r="C34" i="2"/>
  <c r="D34" i="2"/>
  <c r="E34" i="2"/>
  <c r="F34" i="2"/>
  <c r="C35" i="2"/>
  <c r="D35" i="2"/>
  <c r="E35" i="2"/>
  <c r="F35" i="2"/>
  <c r="C36" i="2"/>
  <c r="D36" i="2"/>
  <c r="E36" i="2"/>
  <c r="E42" i="2" s="1"/>
  <c r="E43" i="2" s="1"/>
  <c r="F36" i="2"/>
  <c r="I446" i="1"/>
  <c r="J37" i="1"/>
  <c r="G36" i="2"/>
  <c r="C37" i="2"/>
  <c r="D37" i="2"/>
  <c r="E37" i="2"/>
  <c r="F37" i="2"/>
  <c r="I447" i="1"/>
  <c r="J38" i="1" s="1"/>
  <c r="C38" i="2"/>
  <c r="C42" i="2" s="1"/>
  <c r="C43" i="2" s="1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D42" i="2"/>
  <c r="F42" i="2"/>
  <c r="F43" i="2" s="1"/>
  <c r="C48" i="2"/>
  <c r="D48" i="2"/>
  <c r="E48" i="2"/>
  <c r="F48" i="2"/>
  <c r="F55" i="2" s="1"/>
  <c r="C49" i="2"/>
  <c r="E49" i="2"/>
  <c r="E54" i="2" s="1"/>
  <c r="C51" i="2"/>
  <c r="D51" i="2"/>
  <c r="D54" i="2" s="1"/>
  <c r="D55" i="2" s="1"/>
  <c r="E51" i="2"/>
  <c r="F51" i="2"/>
  <c r="D52" i="2"/>
  <c r="C53" i="2"/>
  <c r="D53" i="2"/>
  <c r="E53" i="2"/>
  <c r="F53" i="2"/>
  <c r="F54" i="2"/>
  <c r="C58" i="2"/>
  <c r="C59" i="2"/>
  <c r="C61" i="2"/>
  <c r="C62" i="2" s="1"/>
  <c r="D61" i="2"/>
  <c r="D62" i="2" s="1"/>
  <c r="E61" i="2"/>
  <c r="E62" i="2" s="1"/>
  <c r="F61" i="2"/>
  <c r="G61" i="2"/>
  <c r="F62" i="2"/>
  <c r="G62" i="2"/>
  <c r="C64" i="2"/>
  <c r="F64" i="2"/>
  <c r="F70" i="2" s="1"/>
  <c r="F73" i="2" s="1"/>
  <c r="C65" i="2"/>
  <c r="F65" i="2"/>
  <c r="C66" i="2"/>
  <c r="C70" i="2" s="1"/>
  <c r="C73" i="2" s="1"/>
  <c r="C67" i="2"/>
  <c r="C68" i="2"/>
  <c r="E68" i="2"/>
  <c r="F68" i="2"/>
  <c r="C69" i="2"/>
  <c r="D69" i="2"/>
  <c r="E69" i="2"/>
  <c r="F69" i="2"/>
  <c r="G69" i="2"/>
  <c r="G70" i="2" s="1"/>
  <c r="G73" i="2" s="1"/>
  <c r="D70" i="2"/>
  <c r="E70" i="2"/>
  <c r="E73" i="2" s="1"/>
  <c r="C71" i="2"/>
  <c r="D71" i="2"/>
  <c r="E71" i="2"/>
  <c r="C72" i="2"/>
  <c r="E72" i="2"/>
  <c r="E77" i="2"/>
  <c r="E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1" i="2"/>
  <c r="C102" i="2"/>
  <c r="E102" i="2"/>
  <c r="E103" i="2"/>
  <c r="C104" i="2"/>
  <c r="E104" i="2"/>
  <c r="C105" i="2"/>
  <c r="E106" i="2"/>
  <c r="D107" i="2"/>
  <c r="F107" i="2"/>
  <c r="F137" i="2" s="1"/>
  <c r="G107" i="2"/>
  <c r="C110" i="2"/>
  <c r="E110" i="2"/>
  <c r="E111" i="2"/>
  <c r="C112" i="2"/>
  <c r="E112" i="2"/>
  <c r="C113" i="2"/>
  <c r="E113" i="2"/>
  <c r="E114" i="2"/>
  <c r="E115" i="2"/>
  <c r="C117" i="2"/>
  <c r="E117" i="2"/>
  <c r="F120" i="2"/>
  <c r="G120" i="2"/>
  <c r="C122" i="2"/>
  <c r="E122" i="2"/>
  <c r="F122" i="2"/>
  <c r="D126" i="2"/>
  <c r="D136" i="2" s="1"/>
  <c r="E126" i="2"/>
  <c r="F126" i="2"/>
  <c r="F136" i="2" s="1"/>
  <c r="K411" i="1"/>
  <c r="K419" i="1"/>
  <c r="K425" i="1"/>
  <c r="K426" i="1" s="1"/>
  <c r="G126" i="2" s="1"/>
  <c r="G136" i="2" s="1"/>
  <c r="G137" i="2" s="1"/>
  <c r="L255" i="1"/>
  <c r="C127" i="2"/>
  <c r="L256" i="1"/>
  <c r="C128" i="2"/>
  <c r="L257" i="1"/>
  <c r="C129" i="2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/>
  <c r="G490" i="1"/>
  <c r="C153" i="2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K493" i="1" s="1"/>
  <c r="G493" i="1"/>
  <c r="C156" i="2" s="1"/>
  <c r="H493" i="1"/>
  <c r="D156" i="2"/>
  <c r="I493" i="1"/>
  <c r="E156" i="2"/>
  <c r="J493" i="1"/>
  <c r="F156" i="2"/>
  <c r="F19" i="1"/>
  <c r="G19" i="1"/>
  <c r="H19" i="1"/>
  <c r="I19" i="1"/>
  <c r="G610" i="1" s="1"/>
  <c r="F33" i="1"/>
  <c r="G33" i="1"/>
  <c r="H33" i="1"/>
  <c r="I33" i="1"/>
  <c r="F43" i="1"/>
  <c r="G43" i="1"/>
  <c r="G44" i="1" s="1"/>
  <c r="H608" i="1" s="1"/>
  <c r="H43" i="1"/>
  <c r="H44" i="1" s="1"/>
  <c r="H609" i="1" s="1"/>
  <c r="I43" i="1"/>
  <c r="I44" i="1" s="1"/>
  <c r="H610" i="1" s="1"/>
  <c r="F44" i="1"/>
  <c r="H607" i="1" s="1"/>
  <c r="J607" i="1" s="1"/>
  <c r="F169" i="1"/>
  <c r="F184" i="1" s="1"/>
  <c r="I169" i="1"/>
  <c r="F175" i="1"/>
  <c r="G175" i="1"/>
  <c r="H175" i="1"/>
  <c r="H184" i="1" s="1"/>
  <c r="I175" i="1"/>
  <c r="I184" i="1" s="1"/>
  <c r="J175" i="1"/>
  <c r="G635" i="1" s="1"/>
  <c r="J635" i="1" s="1"/>
  <c r="F180" i="1"/>
  <c r="G180" i="1"/>
  <c r="H180" i="1"/>
  <c r="I180" i="1"/>
  <c r="G184" i="1"/>
  <c r="F203" i="1"/>
  <c r="G203" i="1"/>
  <c r="H203" i="1"/>
  <c r="H249" i="1" s="1"/>
  <c r="H263" i="1" s="1"/>
  <c r="I203" i="1"/>
  <c r="J203" i="1"/>
  <c r="J249" i="1" s="1"/>
  <c r="K203" i="1"/>
  <c r="F221" i="1"/>
  <c r="F249" i="1" s="1"/>
  <c r="F263" i="1" s="1"/>
  <c r="G221" i="1"/>
  <c r="H221" i="1"/>
  <c r="I221" i="1"/>
  <c r="I249" i="1" s="1"/>
  <c r="I263" i="1" s="1"/>
  <c r="J221" i="1"/>
  <c r="K221" i="1"/>
  <c r="K249" i="1" s="1"/>
  <c r="K263" i="1" s="1"/>
  <c r="F239" i="1"/>
  <c r="G239" i="1"/>
  <c r="H239" i="1"/>
  <c r="I239" i="1"/>
  <c r="J239" i="1"/>
  <c r="K239" i="1"/>
  <c r="G248" i="1"/>
  <c r="H248" i="1"/>
  <c r="I248" i="1"/>
  <c r="J248" i="1"/>
  <c r="K248" i="1"/>
  <c r="G249" i="1"/>
  <c r="G263" i="1" s="1"/>
  <c r="L262" i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J329" i="1"/>
  <c r="J330" i="1" s="1"/>
  <c r="J344" i="1" s="1"/>
  <c r="K329" i="1"/>
  <c r="K330" i="1" s="1"/>
  <c r="K344" i="1" s="1"/>
  <c r="L329" i="1"/>
  <c r="F354" i="1"/>
  <c r="G354" i="1"/>
  <c r="H354" i="1"/>
  <c r="I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L374" i="1"/>
  <c r="F385" i="1"/>
  <c r="G385" i="1"/>
  <c r="G400" i="1" s="1"/>
  <c r="H635" i="1" s="1"/>
  <c r="H385" i="1"/>
  <c r="I385" i="1"/>
  <c r="F393" i="1"/>
  <c r="F400" i="1" s="1"/>
  <c r="H633" i="1" s="1"/>
  <c r="J633" i="1" s="1"/>
  <c r="G393" i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06" i="1"/>
  <c r="L407" i="1"/>
  <c r="L408" i="1"/>
  <c r="L409" i="1"/>
  <c r="L410" i="1"/>
  <c r="F411" i="1"/>
  <c r="F426" i="1" s="1"/>
  <c r="G411" i="1"/>
  <c r="H411" i="1"/>
  <c r="H426" i="1" s="1"/>
  <c r="I411" i="1"/>
  <c r="J411" i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5" i="1" s="1"/>
  <c r="L422" i="1"/>
  <c r="L423" i="1"/>
  <c r="L424" i="1"/>
  <c r="F425" i="1"/>
  <c r="G425" i="1"/>
  <c r="H425" i="1"/>
  <c r="I425" i="1"/>
  <c r="J425" i="1"/>
  <c r="J426" i="1" s="1"/>
  <c r="G426" i="1"/>
  <c r="I426" i="1"/>
  <c r="F438" i="1"/>
  <c r="G438" i="1"/>
  <c r="H438" i="1"/>
  <c r="G631" i="1" s="1"/>
  <c r="J631" i="1" s="1"/>
  <c r="I438" i="1"/>
  <c r="G632" i="1" s="1"/>
  <c r="F444" i="1"/>
  <c r="F451" i="1" s="1"/>
  <c r="H629" i="1" s="1"/>
  <c r="J629" i="1" s="1"/>
  <c r="G444" i="1"/>
  <c r="H444" i="1"/>
  <c r="I444" i="1"/>
  <c r="F450" i="1"/>
  <c r="G450" i="1"/>
  <c r="G451" i="1" s="1"/>
  <c r="H630" i="1" s="1"/>
  <c r="J630" i="1" s="1"/>
  <c r="H450" i="1"/>
  <c r="H451" i="1"/>
  <c r="H631" i="1" s="1"/>
  <c r="G460" i="1"/>
  <c r="I460" i="1"/>
  <c r="I466" i="1" s="1"/>
  <c r="H615" i="1" s="1"/>
  <c r="J460" i="1"/>
  <c r="G464" i="1"/>
  <c r="G466" i="1" s="1"/>
  <c r="H613" i="1" s="1"/>
  <c r="I464" i="1"/>
  <c r="J464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K514" i="1"/>
  <c r="K535" i="1" s="1"/>
  <c r="L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G535" i="1"/>
  <c r="J535" i="1"/>
  <c r="L547" i="1"/>
  <c r="L548" i="1"/>
  <c r="L549" i="1"/>
  <c r="F550" i="1"/>
  <c r="G550" i="1"/>
  <c r="G561" i="1" s="1"/>
  <c r="H550" i="1"/>
  <c r="H561" i="1" s="1"/>
  <c r="I550" i="1"/>
  <c r="I561" i="1" s="1"/>
  <c r="J550" i="1"/>
  <c r="K550" i="1"/>
  <c r="L550" i="1"/>
  <c r="L561" i="1" s="1"/>
  <c r="L552" i="1"/>
  <c r="L555" i="1" s="1"/>
  <c r="L553" i="1"/>
  <c r="L554" i="1"/>
  <c r="F555" i="1"/>
  <c r="G555" i="1"/>
  <c r="H555" i="1"/>
  <c r="I555" i="1"/>
  <c r="J555" i="1"/>
  <c r="J561" i="1" s="1"/>
  <c r="K555" i="1"/>
  <c r="K561" i="1" s="1"/>
  <c r="L557" i="1"/>
  <c r="L558" i="1"/>
  <c r="L560" i="1" s="1"/>
  <c r="L559" i="1"/>
  <c r="F560" i="1"/>
  <c r="G560" i="1"/>
  <c r="H560" i="1"/>
  <c r="I560" i="1"/>
  <c r="J560" i="1"/>
  <c r="K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H639" i="1" s="1"/>
  <c r="J639" i="1" s="1"/>
  <c r="I588" i="1"/>
  <c r="J588" i="1"/>
  <c r="H641" i="1" s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8" i="1"/>
  <c r="J608" i="1" s="1"/>
  <c r="G609" i="1"/>
  <c r="G612" i="1"/>
  <c r="G614" i="1"/>
  <c r="H618" i="1"/>
  <c r="H620" i="1"/>
  <c r="H621" i="1"/>
  <c r="G624" i="1"/>
  <c r="J624" i="1" s="1"/>
  <c r="H625" i="1"/>
  <c r="G626" i="1"/>
  <c r="H626" i="1"/>
  <c r="J626" i="1"/>
  <c r="H627" i="1"/>
  <c r="H628" i="1"/>
  <c r="G629" i="1"/>
  <c r="G630" i="1"/>
  <c r="G633" i="1"/>
  <c r="G634" i="1"/>
  <c r="H637" i="1"/>
  <c r="G639" i="1"/>
  <c r="G640" i="1"/>
  <c r="J640" i="1" s="1"/>
  <c r="H640" i="1"/>
  <c r="G641" i="1"/>
  <c r="G642" i="1"/>
  <c r="H642" i="1"/>
  <c r="J642" i="1"/>
  <c r="G643" i="1"/>
  <c r="H643" i="1"/>
  <c r="J643" i="1"/>
  <c r="G644" i="1"/>
  <c r="J644" i="1" s="1"/>
  <c r="H644" i="1"/>
  <c r="G645" i="1"/>
  <c r="H645" i="1"/>
  <c r="J645" i="1"/>
  <c r="L426" i="1" l="1"/>
  <c r="G628" i="1" s="1"/>
  <c r="J628" i="1" s="1"/>
  <c r="J610" i="1"/>
  <c r="G42" i="2"/>
  <c r="G43" i="2" s="1"/>
  <c r="A22" i="12"/>
  <c r="J609" i="1"/>
  <c r="G153" i="2"/>
  <c r="D43" i="2"/>
  <c r="J19" i="1"/>
  <c r="G611" i="1" s="1"/>
  <c r="G9" i="2"/>
  <c r="G19" i="2" s="1"/>
  <c r="G55" i="2"/>
  <c r="G96" i="2" s="1"/>
  <c r="A13" i="12"/>
  <c r="H458" i="1"/>
  <c r="G619" i="1"/>
  <c r="C77" i="2"/>
  <c r="C83" i="2" s="1"/>
  <c r="C96" i="2" s="1"/>
  <c r="F161" i="1"/>
  <c r="C39" i="10" s="1"/>
  <c r="I451" i="1"/>
  <c r="H632" i="1" s="1"/>
  <c r="J632" i="1" s="1"/>
  <c r="D96" i="2"/>
  <c r="G22" i="2"/>
  <c r="G32" i="2" s="1"/>
  <c r="J33" i="1"/>
  <c r="G37" i="2"/>
  <c r="J43" i="1"/>
  <c r="E136" i="2"/>
  <c r="F650" i="1"/>
  <c r="L249" i="1"/>
  <c r="L263" i="1" s="1"/>
  <c r="I185" i="1"/>
  <c r="G620" i="1" s="1"/>
  <c r="J620" i="1" s="1"/>
  <c r="L400" i="1"/>
  <c r="C130" i="2"/>
  <c r="C133" i="2" s="1"/>
  <c r="H33" i="13"/>
  <c r="C25" i="13"/>
  <c r="J263" i="1"/>
  <c r="H638" i="1"/>
  <c r="J638" i="1" s="1"/>
  <c r="D73" i="2"/>
  <c r="F96" i="2"/>
  <c r="A40" i="12"/>
  <c r="H650" i="1"/>
  <c r="H654" i="1" s="1"/>
  <c r="C5" i="13"/>
  <c r="E55" i="2"/>
  <c r="E96" i="2" s="1"/>
  <c r="E33" i="13"/>
  <c r="D35" i="13" s="1"/>
  <c r="C8" i="13"/>
  <c r="G651" i="1"/>
  <c r="C12" i="10"/>
  <c r="L282" i="1"/>
  <c r="B156" i="2"/>
  <c r="G156" i="2" s="1"/>
  <c r="C111" i="2"/>
  <c r="C120" i="2" s="1"/>
  <c r="I541" i="1"/>
  <c r="I542" i="1" s="1"/>
  <c r="F651" i="1"/>
  <c r="I651" i="1" s="1"/>
  <c r="C11" i="10"/>
  <c r="L243" i="1"/>
  <c r="E116" i="2"/>
  <c r="E120" i="2" s="1"/>
  <c r="E137" i="2" s="1"/>
  <c r="C10" i="10"/>
  <c r="J104" i="1"/>
  <c r="C35" i="10"/>
  <c r="L604" i="1"/>
  <c r="L524" i="1"/>
  <c r="L535" i="1" s="1"/>
  <c r="J184" i="1"/>
  <c r="C103" i="2"/>
  <c r="C21" i="10"/>
  <c r="D12" i="13"/>
  <c r="C12" i="13" s="1"/>
  <c r="I450" i="1"/>
  <c r="C115" i="2"/>
  <c r="C26" i="10"/>
  <c r="F33" i="13"/>
  <c r="L221" i="1"/>
  <c r="G650" i="1" s="1"/>
  <c r="G654" i="1" s="1"/>
  <c r="C19" i="10"/>
  <c r="G161" i="1"/>
  <c r="G185" i="1" s="1"/>
  <c r="G618" i="1" s="1"/>
  <c r="J618" i="1" s="1"/>
  <c r="G615" i="1"/>
  <c r="J615" i="1" s="1"/>
  <c r="C114" i="2"/>
  <c r="G539" i="1"/>
  <c r="G542" i="1" s="1"/>
  <c r="K490" i="1"/>
  <c r="L354" i="1"/>
  <c r="L343" i="1"/>
  <c r="D29" i="13"/>
  <c r="C29" i="13" s="1"/>
  <c r="G613" i="1"/>
  <c r="J613" i="1" s="1"/>
  <c r="C24" i="10" l="1"/>
  <c r="C106" i="2"/>
  <c r="D17" i="13"/>
  <c r="C17" i="13" s="1"/>
  <c r="F185" i="1"/>
  <c r="H460" i="1"/>
  <c r="H619" i="1"/>
  <c r="J619" i="1" s="1"/>
  <c r="D39" i="10"/>
  <c r="F654" i="1"/>
  <c r="I650" i="1"/>
  <c r="I654" i="1" s="1"/>
  <c r="G625" i="1"/>
  <c r="J625" i="1" s="1"/>
  <c r="C27" i="10"/>
  <c r="G627" i="1"/>
  <c r="J627" i="1" s="1"/>
  <c r="H636" i="1"/>
  <c r="D21" i="10"/>
  <c r="C136" i="2"/>
  <c r="K539" i="1"/>
  <c r="K542" i="1" s="1"/>
  <c r="G622" i="1"/>
  <c r="F462" i="1"/>
  <c r="C41" i="10"/>
  <c r="C36" i="10"/>
  <c r="J185" i="1"/>
  <c r="H662" i="1"/>
  <c r="C6" i="10" s="1"/>
  <c r="H657" i="1"/>
  <c r="C107" i="2"/>
  <c r="D19" i="10"/>
  <c r="D31" i="13"/>
  <c r="C31" i="13" s="1"/>
  <c r="L330" i="1"/>
  <c r="L344" i="1" s="1"/>
  <c r="G662" i="1"/>
  <c r="C5" i="10" s="1"/>
  <c r="G657" i="1"/>
  <c r="K541" i="1"/>
  <c r="C28" i="10"/>
  <c r="J44" i="1"/>
  <c r="H611" i="1" s="1"/>
  <c r="J611" i="1" s="1"/>
  <c r="G616" i="1"/>
  <c r="J616" i="1" s="1"/>
  <c r="D22" i="10" l="1"/>
  <c r="C30" i="10"/>
  <c r="D25" i="10"/>
  <c r="D23" i="10"/>
  <c r="D16" i="10"/>
  <c r="D18" i="10"/>
  <c r="D15" i="10"/>
  <c r="D20" i="10"/>
  <c r="D13" i="10"/>
  <c r="D17" i="10"/>
  <c r="G636" i="1"/>
  <c r="J636" i="1" s="1"/>
  <c r="G621" i="1"/>
  <c r="J621" i="1" s="1"/>
  <c r="I657" i="1"/>
  <c r="I662" i="1"/>
  <c r="C7" i="10" s="1"/>
  <c r="D10" i="10"/>
  <c r="D40" i="10"/>
  <c r="D37" i="10"/>
  <c r="D38" i="10"/>
  <c r="H622" i="1"/>
  <c r="J622" i="1" s="1"/>
  <c r="F662" i="1"/>
  <c r="C4" i="10" s="1"/>
  <c r="F657" i="1"/>
  <c r="D12" i="10"/>
  <c r="H462" i="1"/>
  <c r="G623" i="1"/>
  <c r="C137" i="2"/>
  <c r="F458" i="1"/>
  <c r="G617" i="1"/>
  <c r="D33" i="13"/>
  <c r="D36" i="13" s="1"/>
  <c r="D26" i="10"/>
  <c r="D36" i="10"/>
  <c r="D11" i="10"/>
  <c r="D24" i="10"/>
  <c r="D35" i="10"/>
  <c r="D27" i="10"/>
  <c r="F463" i="1" l="1"/>
  <c r="F464" i="1" s="1"/>
  <c r="H617" i="1"/>
  <c r="F460" i="1"/>
  <c r="F466" i="1" s="1"/>
  <c r="H612" i="1" s="1"/>
  <c r="J612" i="1" s="1"/>
  <c r="J617" i="1"/>
  <c r="D28" i="10"/>
  <c r="J623" i="1"/>
  <c r="H646" i="1"/>
  <c r="D41" i="10"/>
  <c r="H464" i="1"/>
  <c r="H466" i="1" s="1"/>
  <c r="H614" i="1" s="1"/>
  <c r="J614" i="1" s="1"/>
  <c r="H6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C4297A7-4022-4453-9051-AF988383D9E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468F6D9-8617-444B-8061-4A6A69EED48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D0774E1-5962-42FB-8E39-5C705545A94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9FE1E1A-6413-4999-8061-7EFD814D7CB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9BC9A327-1633-4876-9F28-5F224370A69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255165A-ACCF-429A-A919-011514752549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41AF28EC-F857-49B2-883C-13721AB5DA4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F35A80E-873A-4D95-A55E-1CF9C5AB6BF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2D88E88-5508-42D2-BF50-ABBBE21F242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3D2DF9E-D318-4FC5-A72A-783F3BE4976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C8B7AF5-5CE8-43E4-914C-2C7BD7BFF20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2334411-9D34-45C9-9FBB-E3AF1BD3DEF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<sst xmlns="http://schemas.openxmlformats.org/spreadsheetml/2006/main" count="3879" uniqueCount="911">
  <si>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</si>
  <si>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</si>
  <si>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</si>
  <si>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</si>
  <si>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</si>
  <si>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</si>
  <si>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</si>
  <si>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</si>
  <si>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</si>
  <si>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</si>
  <si>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</si>
  <si>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</si>
  <si>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</si>
  <si>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</si>
  <si>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</si>
  <si>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</si>
  <si>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</si>
  <si>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</si>
  <si>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</si>
  <si>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</si>
  <si>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</si>
  <si>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</si>
  <si>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</si>
  <si>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</si>
  <si>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</si>
  <si>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</si>
  <si>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</si>
  <si>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</si>
  <si>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</si>
  <si>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</si>
  <si>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</si>
  <si>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</si>
  <si>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</si>
  <si>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</si>
  <si>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</si>
  <si>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</si>
  <si>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</si>
  <si>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</si>
  <si>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</si>
  <si>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</si>
  <si>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</si>
  <si>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</si>
  <si>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</si>
  <si>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</si>
  <si>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</si>
  <si>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</si>
  <si>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</si>
  <si>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</si>
  <si>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</si>
  <si>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</si>
  <si>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</si>
  <si>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</si>
  <si>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</si>
  <si>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</si>
  <si>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</si>
  <si>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</si>
  <si>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</si>
  <si>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</si>
  <si>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</si>
  <si>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</si>
  <si>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</si>
  <si>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</si>
  <si>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</si>
  <si>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</si>
  <si>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</si>
  <si>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</si>
  <si>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</si>
  <si>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</si>
  <si>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</si>
  <si>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</si>
  <si>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</si>
  <si>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</si>
  <si>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</si>
  <si>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</si>
  <si>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</si>
  <si>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</si>
  <si>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</si>
  <si>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</si>
  <si>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</si>
  <si>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</si>
  <si>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</si>
  <si>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</si>
  <si>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</si>
  <si>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</si>
  <si>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</si>
  <si>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</si>
  <si>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</si>
  <si>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</si>
  <si>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</si>
  <si>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</si>
  <si>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</si>
  <si>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</si>
  <si>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</si>
  <si>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</si>
  <si>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</si>
  <si>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</si>
  <si>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</si>
  <si>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</si>
  <si>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</si>
  <si>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</si>
  <si>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</si>
  <si>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</si>
  <si>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</si>
  <si>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</si>
  <si>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</si>
  <si>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</si>
  <si>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</si>
  <si>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</si>
  <si>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</si>
  <si>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</si>
  <si>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</si>
  <si>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</si>
  <si>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</si>
  <si>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</si>
  <si>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</si>
  <si>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</si>
  <si>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</si>
  <si>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</si>
  <si>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</si>
  <si>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</si>
  <si>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</si>
  <si>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</si>
  <si>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</si>
  <si>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</si>
  <si>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</si>
  <si>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</si>
  <si>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</si>
  <si>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</si>
  <si>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</si>
  <si>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</si>
  <si>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</si>
  <si>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</si>
  <si>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</si>
  <si>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</si>
  <si>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</si>
  <si>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</si>
  <si>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</si>
  <si>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</si>
  <si>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</si>
  <si>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</si>
  <si>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</si>
  <si>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</si>
  <si>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</si>
  <si>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</si>
  <si>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</si>
  <si>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</si>
  <si>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</si>
  <si>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</si>
  <si>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</si>
  <si>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</si>
  <si>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</si>
  <si>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</si>
  <si>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</si>
  <si>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</si>
  <si>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</si>
  <si>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</si>
  <si>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</si>
  <si>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</si>
  <si>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</si>
  <si>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</si>
  <si>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</si>
  <si>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</si>
  <si>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</si>
  <si>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</si>
  <si>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</si>
  <si>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</si>
  <si>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</si>
  <si>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</si>
  <si>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</si>
  <si>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</si>
  <si>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</si>
  <si>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</si>
  <si>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</si>
  <si>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</si>
  <si>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</si>
  <si>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</si>
  <si>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</si>
  <si>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</si>
  <si>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</si>
  <si>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</si>
  <si>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</si>
  <si>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</si>
  <si>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</si>
  <si>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</si>
  <si>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</si>
  <si>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</si>
  <si>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</si>
  <si>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</si>
  <si>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</si>
  <si>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</si>
  <si>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</si>
  <si>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</si>
  <si>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</si>
  <si>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</si>
  <si>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</si>
  <si>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</si>
  <si>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</si>
  <si>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</si>
  <si>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</si>
  <si>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</si>
  <si>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</si>
  <si>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</si>
  <si>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</si>
  <si>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</si>
  <si>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</si>
  <si>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</si>
  <si>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</si>
  <si>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</si>
  <si>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</si>
  <si>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</si>
  <si>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</si>
  <si>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</si>
  <si>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</si>
  <si>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</si>
  <si>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</si>
  <si>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</si>
  <si>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</si>
  <si>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</si>
  <si>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</si>
  <si>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</si>
  <si>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</si>
  <si>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</si>
  <si>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</si>
  <si>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</si>
  <si>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</si>
  <si>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</si>
  <si>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</si>
  <si>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</si>
  <si>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</si>
  <si>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</si>
  <si>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</si>
  <si>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</si>
  <si>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</si>
  <si>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</si>
  <si>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</si>
  <si>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</si>
  <si>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</si>
  <si>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</si>
  <si>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</si>
  <si>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</si>
  <si>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</si>
  <si>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</si>
  <si>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</si>
  <si>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</si>
  <si>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</si>
  <si>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</si>
  <si>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</si>
  <si>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</si>
  <si>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</si>
  <si>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</si>
  <si>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</si>
  <si>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</si>
  <si>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</si>
  <si>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</si>
  <si>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</si>
  <si>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</si>
  <si>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</si>
  <si>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</si>
  <si>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</si>
  <si>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</si>
  <si>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</si>
  <si>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</si>
  <si>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</si>
  <si>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</si>
  <si>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</si>
  <si>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</si>
  <si>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</si>
  <si>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</si>
  <si>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</si>
  <si>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</si>
  <si>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</si>
  <si>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</si>
  <si>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</si>
  <si>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</si>
  <si>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</si>
  <si>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</si>
  <si>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</si>
  <si>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</si>
  <si>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</si>
  <si>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</si>
  <si>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</si>
  <si>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</si>
  <si>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</si>
  <si>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</si>
  <si>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</si>
  <si>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</si>
  <si>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</si>
  <si>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</si>
  <si>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</si>
  <si>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</si>
  <si>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</si>
  <si>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</si>
  <si>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</si>
  <si>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</si>
  <si>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</si>
  <si>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</si>
  <si>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</si>
  <si>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</si>
  <si>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</si>
  <si>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</si>
  <si>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</si>
  <si>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</si>
  <si>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</si>
  <si>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</si>
  <si>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</si>
  <si>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</si>
  <si>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</si>
  <si>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</si>
  <si>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</si>
  <si>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</si>
  <si>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</si>
  <si>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</si>
  <si>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</si>
  <si>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</si>
  <si>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</si>
  <si>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</si>
  <si>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</si>
  <si>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</si>
  <si>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</si>
  <si>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</si>
  <si>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</si>
  <si>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</si>
  <si>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</si>
  <si>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</si>
  <si>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</si>
  <si>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</si>
  <si>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</si>
  <si>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</si>
  <si>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</si>
  <si>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</si>
  <si>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</si>
  <si>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</si>
  <si>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</si>
  <si>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</si>
  <si>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</si>
  <si>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</si>
  <si>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</si>
  <si>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</si>
  <si>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</si>
  <si>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</si>
  <si>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</si>
  <si>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</si>
  <si>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</si>
  <si>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</si>
  <si>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</si>
  <si>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</si>
  <si>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</si>
  <si>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</si>
  <si>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</si>
  <si>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</si>
  <si>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</si>
  <si>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</si>
  <si>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</si>
  <si>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</si>
  <si>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</si>
  <si>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</si>
  <si>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</si>
  <si>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</si>
  <si>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</si>
  <si>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</si>
  <si>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</si>
  <si>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</si>
  <si>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</si>
  <si>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</si>
  <si>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</si>
  <si>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</si>
  <si>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</si>
  <si>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</si>
  <si>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</si>
  <si>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</si>
  <si>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</si>
  <si>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</si>
  <si>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</si>
  <si>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</si>
  <si>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</si>
  <si>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</si>
  <si>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</si>
  <si>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</si>
  <si>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</si>
  <si>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</si>
  <si>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</si>
  <si>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</si>
  <si>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</si>
  <si>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</si>
  <si>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</si>
  <si>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</si>
  <si>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</si>
  <si>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</si>
  <si>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</si>
  <si>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</si>
  <si>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</si>
  <si>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</si>
  <si>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</si>
  <si>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</si>
  <si>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</si>
  <si>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</si>
  <si>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</si>
  <si>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</si>
  <si>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</si>
  <si>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</si>
  <si>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</si>
  <si>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</si>
  <si>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</si>
  <si>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</si>
  <si>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</si>
  <si>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</si>
  <si>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</si>
  <si>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</si>
  <si>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</si>
  <si>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</si>
  <si>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</si>
  <si>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</si>
  <si>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</si>
  <si>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</si>
  <si>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</si>
  <si>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</si>
  <si>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</si>
  <si>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</si>
  <si>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</si>
  <si>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</si>
  <si>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</si>
  <si>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</si>
  <si>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</si>
  <si>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</si>
  <si>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</si>
  <si>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</si>
  <si>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</si>
  <si>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</si>
  <si>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</si>
  <si>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</si>
  <si>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</si>
  <si>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</si>
  <si>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</si>
  <si>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</si>
  <si>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</si>
  <si>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</si>
  <si>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</si>
  <si>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</si>
  <si>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</si>
  <si>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</si>
  <si>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</si>
  <si>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</si>
  <si>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</si>
  <si>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</si>
  <si>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</si>
  <si>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</si>
  <si>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</si>
  <si>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</si>
  <si>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</si>
  <si>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</si>
  <si>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</si>
  <si>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</si>
  <si>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</si>
  <si>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</si>
  <si>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</si>
  <si>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</si>
  <si>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</si>
  <si>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</si>
  <si>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</si>
  <si>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</si>
  <si>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</si>
  <si>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</si>
  <si>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</si>
  <si>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</si>
  <si>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</si>
  <si>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</si>
  <si>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</si>
  <si>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</si>
  <si>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</si>
  <si>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</si>
  <si>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</si>
  <si>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</si>
  <si>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</si>
  <si>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</si>
  <si>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</si>
  <si>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</si>
  <si>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</si>
  <si>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</si>
  <si>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</si>
  <si>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</si>
  <si>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</si>
  <si>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</si>
  <si>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</si>
  <si>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</si>
  <si>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</si>
  <si>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</si>
  <si>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</si>
  <si>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</si>
  <si>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</si>
  <si>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</si>
  <si>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</si>
  <si>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</si>
  <si>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</si>
  <si>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</si>
  <si>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</si>
  <si>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</si>
  <si>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</si>
  <si>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</si>
  <si>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</si>
  <si>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</si>
  <si>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</si>
  <si>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</si>
  <si>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</si>
  <si>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</si>
  <si>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</si>
  <si>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</si>
  <si>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</si>
  <si>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</si>
  <si>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</si>
  <si>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</si>
  <si>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</si>
  <si>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</si>
  <si>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</si>
  <si>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</si>
  <si>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</si>
  <si>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</si>
  <si>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</si>
  <si>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</si>
  <si>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</si>
  <si>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</si>
  <si>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</si>
  <si>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</si>
  <si>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</si>
  <si>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</si>
  <si>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</si>
  <si>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</si>
  <si>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</si>
  <si>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</si>
  <si>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</si>
  <si>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</si>
  <si>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</si>
  <si>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</si>
  <si>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</si>
  <si>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</si>
  <si>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</si>
  <si>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</si>
  <si>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</si>
  <si>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</si>
  <si>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</si>
  <si>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</si>
  <si>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</si>
  <si>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</si>
  <si>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</si>
  <si>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</si>
  <si>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</si>
  <si>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</si>
  <si>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</si>
  <si>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</si>
  <si>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</si>
  <si>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</si>
  <si>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</si>
  <si>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</si>
  <si>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</si>
  <si>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</si>
  <si>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</si>
  <si>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</si>
  <si>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</si>
  <si>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</si>
  <si>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</si>
  <si>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</si>
  <si>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</si>
  <si>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</si>
  <si>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</si>
  <si>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</si>
  <si>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</si>
  <si>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</si>
  <si>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</si>
  <si>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</si>
  <si>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</si>
  <si>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</si>
  <si>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</si>
  <si>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</si>
  <si>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</si>
  <si>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</si>
  <si>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</si>
  <si>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</si>
  <si>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</si>
  <si>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</si>
  <si>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</si>
  <si>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</si>
  <si>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</si>
  <si>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</si>
  <si>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</si>
  <si>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</si>
  <si>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</si>
  <si>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</si>
  <si>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</si>
  <si>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</si>
  <si>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</si>
  <si>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</si>
  <si>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</si>
  <si>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</si>
  <si>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</si>
  <si>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</si>
  <si>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</si>
  <si>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</si>
  <si>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</si>
  <si>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</si>
  <si>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</si>
  <si>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</si>
  <si>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</si>
  <si>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</si>
  <si>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</si>
  <si>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</si>
  <si>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</si>
  <si>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</si>
  <si>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</si>
  <si>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</si>
  <si>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</si>
  <si>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</si>
  <si>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</si>
  <si>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</si>
  <si>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</si>
  <si>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</si>
  <si>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</si>
  <si>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</si>
  <si>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</si>
  <si>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</si>
  <si>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</si>
  <si>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</si>
  <si>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</si>
  <si>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</si>
  <si>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</si>
  <si>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</si>
  <si>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</si>
  <si>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</si>
  <si>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</si>
  <si>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</si>
  <si>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</si>
  <si>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</si>
  <si>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</si>
  <si>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</si>
  <si>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</si>
  <si>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</si>
  <si>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</si>
  <si>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</si>
  <si>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</si>
  <si>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</si>
  <si>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</si>
  <si>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</si>
  <si>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</si>
  <si>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</si>
  <si>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</si>
  <si>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</si>
  <si>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</si>
  <si>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</si>
  <si>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</si>
  <si>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</si>
  <si>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</si>
  <si>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</si>
  <si>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</si>
  <si>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</si>
  <si>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</si>
  <si>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</si>
  <si>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</si>
  <si>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</si>
  <si>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</si>
  <si>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</si>
  <si>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</si>
  <si>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</si>
  <si>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</si>
  <si>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</si>
  <si>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</si>
  <si>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</si>
  <si>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</si>
  <si>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</si>
  <si>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</si>
  <si>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</si>
  <si>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</si>
  <si>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</si>
  <si>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</si>
  <si>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</si>
  <si>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</si>
  <si>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</si>
  <si>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</si>
  <si>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</si>
  <si>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</si>
  <si>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</si>
  <si>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</si>
  <si>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</si>
  <si>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</si>
  <si>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</si>
  <si>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</si>
  <si>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</si>
  <si>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</si>
  <si>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</si>
  <si>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</si>
  <si>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</si>
  <si>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</si>
  <si>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</si>
  <si>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</si>
  <si>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</si>
  <si>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</si>
  <si>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</si>
  <si>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</si>
  <si>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</si>
  <si>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</si>
  <si>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</si>
  <si>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</si>
  <si>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</si>
  <si>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</si>
  <si>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</si>
  <si>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</si>
  <si>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</si>
  <si>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</si>
  <si>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</si>
  <si>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</si>
  <si>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</si>
  <si>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</si>
  <si>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</si>
  <si>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</si>
  <si>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</si>
  <si>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</si>
  <si>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</si>
  <si>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</si>
  <si>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</si>
  <si>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</si>
  <si>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</si>
  <si>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</si>
  <si>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</si>
  <si>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</si>
  <si>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</si>
  <si>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</si>
  <si>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</si>
  <si>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</si>
  <si>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</si>
  <si>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</si>
  <si>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</si>
  <si>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</si>
  <si>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</si>
  <si>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</si>
  <si>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</si>
  <si>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</si>
  <si>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</si>
  <si>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</si>
  <si>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</si>
  <si>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</si>
  <si>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</si>
  <si>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</si>
  <si>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</si>
  <si>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</si>
  <si>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</si>
  <si>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</si>
  <si>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</si>
  <si>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</si>
  <si>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</si>
  <si>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</si>
  <si>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</si>
  <si>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</si>
  <si>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</si>
  <si>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</si>
  <si>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</si>
  <si>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</si>
  <si>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</si>
  <si>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</si>
  <si>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</si>
  <si>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</si>
  <si>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</si>
  <si>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</si>
  <si>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</si>
  <si>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</si>
  <si>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</si>
  <si>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</si>
  <si>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</si>
  <si>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</si>
  <si>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</si>
  <si>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</si>
  <si>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</si>
  <si>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</si>
  <si>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</si>
  <si>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</si>
  <si>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</si>
  <si>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</si>
  <si>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</si>
  <si>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</si>
  <si>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</si>
  <si>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</si>
  <si>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</si>
  <si>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</si>
  <si>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</si>
  <si>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</si>
  <si>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</si>
  <si>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</si>
  <si>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</si>
  <si>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</si>
  <si>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</si>
  <si>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</si>
  <si>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</si>
  <si>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</si>
  <si>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</si>
  <si>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</si>
  <si>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</si>
  <si>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</si>
  <si>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</si>
  <si>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</si>
  <si>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</si>
  <si>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</si>
  <si>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</si>
  <si>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</si>
  <si>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</si>
  <si>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</si>
  <si>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</si>
  <si>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</si>
  <si>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</si>
  <si>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</si>
  <si>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</si>
  <si>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</si>
  <si>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</si>
  <si>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</si>
  <si>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</si>
  <si>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</si>
  <si>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</si>
  <si>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</si>
  <si>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</si>
  <si>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</si>
  <si>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</si>
  <si>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</si>
  <si>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</si>
  <si>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</si>
  <si>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</si>
  <si>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</si>
  <si>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</si>
  <si>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</si>
  <si>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</si>
  <si>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</si>
  <si>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</si>
  <si>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</si>
  <si>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</si>
  <si>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</si>
  <si>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</si>
  <si>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</si>
  <si>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</si>
  <si>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</si>
  <si>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</si>
  <si>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</si>
  <si>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</si>
  <si>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</si>
  <si>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</si>
  <si>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</si>
  <si>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</si>
  <si>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</si>
  <si>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</si>
  <si>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</si>
  <si>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</si>
  <si>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</si>
  <si>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</si>
  <si>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</si>
  <si>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</si>
  <si>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</si>
  <si>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</si>
  <si>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</si>
  <si>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</si>
  <si>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</si>
  <si>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</si>
  <si>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</si>
  <si>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</si>
  <si>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</si>
  <si>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</si>
  <si>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</si>
  <si>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</si>
  <si>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</si>
  <si>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</si>
  <si>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</si>
  <si>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</si>
  <si>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</si>
  <si>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</si>
  <si>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</si>
  <si>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</si>
  <si>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</si>
  <si>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</si>
  <si>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</si>
  <si>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</si>
  <si>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</si>
  <si>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</si>
  <si>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</si>
  <si>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</si>
  <si>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</si>
  <si>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</si>
  <si>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</si>
  <si>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</si>
  <si>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</si>
  <si>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</si>
  <si>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</si>
  <si>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</si>
  <si>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</si>
  <si>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</si>
  <si>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</si>
  <si>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</si>
  <si>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</si>
  <si>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</si>
  <si>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</si>
  <si>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</si>
  <si>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</si>
  <si>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</si>
  <si>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VARIES</t>
  </si>
  <si>
    <t>07/01/01</t>
  </si>
  <si>
    <t>07/01/03</t>
  </si>
  <si>
    <t>07/01/05</t>
  </si>
  <si>
    <t>PRIOR TO 2020</t>
  </si>
  <si>
    <t>07/01/21</t>
  </si>
  <si>
    <t>07/01/23</t>
  </si>
  <si>
    <t>07/01/25</t>
  </si>
  <si>
    <t>BEYOND 2027</t>
  </si>
  <si>
    <t>Rochester School District</t>
  </si>
  <si>
    <t>6 Col. 1</t>
  </si>
  <si>
    <t>turned over to the city.</t>
  </si>
  <si>
    <t>3 Col. 2</t>
  </si>
  <si>
    <t>6 Col. 2</t>
  </si>
  <si>
    <t>$10,701.74 is beginning inventory</t>
  </si>
  <si>
    <t>$ 9,660.92 is ending inventory</t>
  </si>
  <si>
    <t>The $1,069,668.07 is made up of $151,598.71 in excess revenue and $918,069.36 in appropriation not spent that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</si>
</sst>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C0C7-2587-4F21-B755-116703DE09E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56" sqref="H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903</v>
      </c>
      <c r="B2" s="21">
        <v>461</v>
      </c>
      <c r="C2" s="21">
        <v>461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/>
      <c r="G9" s="18"/>
      <c r="H9" s="18"/>
      <c r="I9" s="18">
        <v>3369.57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203961.03</v>
      </c>
      <c r="H12" s="18">
        <v>1306946.46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72453.48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9660.92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0</v>
      </c>
      <c r="G19" s="41">
        <f>SUM(G9:G18)</f>
        <v>286075.43</v>
      </c>
      <c r="H19" s="41">
        <f>SUM(H9:H18)</f>
        <v>1306946.46</v>
      </c>
      <c r="I19" s="41">
        <f>SUM(I9:I18)</f>
        <v>3369.57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>
        <f>1118452.59+144502.33</f>
        <v>1262954.9200000002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816.44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816.44</v>
      </c>
      <c r="H33" s="41">
        <f>SUM(H23:H32)</f>
        <v>1262954.9200000002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9660.92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>
        <v>2550.27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275598.07</v>
      </c>
      <c r="H41" s="18">
        <v>43991.54</v>
      </c>
      <c r="I41" s="18">
        <v>819.3</v>
      </c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285258.99</v>
      </c>
      <c r="H43" s="41">
        <f>SUM(H35:H42)</f>
        <v>43991.54</v>
      </c>
      <c r="I43" s="41">
        <f>SUM(I35:I42)</f>
        <v>3369.5699999999997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0</v>
      </c>
      <c r="G44" s="41">
        <f>G43+G33</f>
        <v>286075.43</v>
      </c>
      <c r="H44" s="41">
        <f>H43+H33</f>
        <v>1306946.4600000002</v>
      </c>
      <c r="I44" s="41">
        <f>I43+I33</f>
        <v>3369.5699999999997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21839961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21839961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8560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18600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2142882.2-13069.53</f>
        <v>2129812.6700000004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93781.43</v>
      </c>
      <c r="G61" s="24" t="s">
        <v>312</v>
      </c>
      <c r="H61" s="18">
        <v>91818.93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35041.15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v>5429.54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2267195.2500000005</v>
      </c>
      <c r="G71" s="45" t="s">
        <v>312</v>
      </c>
      <c r="H71" s="41">
        <f>SUM(H55:H70)</f>
        <v>115848.46999999999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/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826803.18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12496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17004.02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67267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21342.5+5475.35+32357.51</f>
        <v>59175.360000000001</v>
      </c>
      <c r="G102" s="18">
        <v>28010.959999999999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155942.38</v>
      </c>
      <c r="G103" s="41">
        <f>SUM(G88:G102)</f>
        <v>854814.14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24263098.629999999</v>
      </c>
      <c r="G104" s="41">
        <f>G52+G103</f>
        <v>854814.14</v>
      </c>
      <c r="H104" s="41">
        <f>H52+H71+H86+H103</f>
        <v>115848.46999999999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22458109-6227269.06</f>
        <v>16230839.940000001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5118107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6227269.0599999996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27576216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1285885.8400000001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453329.04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f>54518.45+13069.53</f>
        <v>67587.98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36900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18989.32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1843702.86</v>
      </c>
      <c r="G128" s="41">
        <f>SUM(G115:G127)</f>
        <v>18989.32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29419918.859999999</v>
      </c>
      <c r="G132" s="41">
        <f>G113+SUM(G128:G129)</f>
        <v>18989.32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f>66471.55+126582.56</f>
        <v>193054.11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193054.11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930106.87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371809.79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204003.53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8719.11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891556.4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3066663.7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502445.76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98646.18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502445.76</v>
      </c>
      <c r="G154" s="41">
        <f>SUM(G142:G153)</f>
        <v>891556.4</v>
      </c>
      <c r="H154" s="41">
        <f>SUM(H142:H153)</f>
        <v>4679949.18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101759.35</v>
      </c>
      <c r="G160" s="18">
        <v>492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797259.22</v>
      </c>
      <c r="G161" s="41">
        <f>G139+G154+SUM(G155:G160)</f>
        <v>892048.4</v>
      </c>
      <c r="H161" s="41">
        <f>H139+H154+SUM(H155:H160)</f>
        <v>4679949.18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54480276.709999993</v>
      </c>
      <c r="G185" s="47">
        <f>G104+G132+G161+G184</f>
        <v>1765851.8599999999</v>
      </c>
      <c r="H185" s="47">
        <f>H104+H132+H161+H184</f>
        <v>4795797.6499999994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6770993.6799999997</v>
      </c>
      <c r="G189" s="18">
        <v>2266641.64</v>
      </c>
      <c r="H189" s="18">
        <v>93351.55</v>
      </c>
      <c r="I189" s="18">
        <v>265376.36</v>
      </c>
      <c r="J189" s="18">
        <v>32351.94</v>
      </c>
      <c r="K189" s="18"/>
      <c r="L189" s="19">
        <f>SUM(F189:K189)</f>
        <v>9428715.1699999999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4465502.55</v>
      </c>
      <c r="G190" s="18">
        <v>1276898.96</v>
      </c>
      <c r="H190" s="18">
        <v>402384.63</v>
      </c>
      <c r="I190" s="18">
        <v>31000.33</v>
      </c>
      <c r="J190" s="18">
        <v>3629.13</v>
      </c>
      <c r="K190" s="18">
        <v>820</v>
      </c>
      <c r="L190" s="19">
        <f>SUM(F190:K190)</f>
        <v>6180235.5999999996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424643.05</v>
      </c>
      <c r="G194" s="18">
        <v>143931.32</v>
      </c>
      <c r="H194" s="18">
        <v>1130.73</v>
      </c>
      <c r="I194" s="18">
        <v>3462.56</v>
      </c>
      <c r="J194" s="18">
        <v>569.71</v>
      </c>
      <c r="K194" s="18"/>
      <c r="L194" s="19">
        <f t="shared" ref="L194:L200" si="0">SUM(F194:K194)</f>
        <v>573737.37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314174.81</v>
      </c>
      <c r="G195" s="18">
        <v>84835.3</v>
      </c>
      <c r="H195" s="18">
        <v>247971.73</v>
      </c>
      <c r="I195" s="18">
        <v>39306.480000000003</v>
      </c>
      <c r="J195" s="18">
        <f>110700.24-0.03</f>
        <v>110700.21</v>
      </c>
      <c r="K195" s="18">
        <v>419.13</v>
      </c>
      <c r="L195" s="19">
        <f t="shared" si="0"/>
        <v>797407.65999999992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415573.13</v>
      </c>
      <c r="G196" s="18">
        <v>144917.32</v>
      </c>
      <c r="H196" s="18">
        <v>95381.48</v>
      </c>
      <c r="I196" s="18">
        <v>9086.3799999999992</v>
      </c>
      <c r="J196" s="18">
        <v>2918.01</v>
      </c>
      <c r="K196" s="18">
        <v>46152.65</v>
      </c>
      <c r="L196" s="19">
        <f t="shared" si="0"/>
        <v>714028.97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896607.62</v>
      </c>
      <c r="G197" s="18">
        <v>375751.56</v>
      </c>
      <c r="H197" s="18">
        <v>3304.8</v>
      </c>
      <c r="I197" s="18">
        <v>23333.71</v>
      </c>
      <c r="J197" s="18">
        <v>4339.26</v>
      </c>
      <c r="K197" s="18">
        <v>5566.54</v>
      </c>
      <c r="L197" s="19">
        <f t="shared" si="0"/>
        <v>1308903.49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117236.48</v>
      </c>
      <c r="G198" s="18">
        <v>45528.07</v>
      </c>
      <c r="H198" s="18">
        <v>12165.92</v>
      </c>
      <c r="I198" s="18">
        <v>4816.9399999999996</v>
      </c>
      <c r="J198" s="18">
        <v>224.7</v>
      </c>
      <c r="K198" s="18">
        <v>555.77</v>
      </c>
      <c r="L198" s="19">
        <f t="shared" si="0"/>
        <v>180527.88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668464.85</v>
      </c>
      <c r="G199" s="18">
        <v>283815.61</v>
      </c>
      <c r="H199" s="18">
        <v>754270.31</v>
      </c>
      <c r="I199" s="18">
        <v>395986.42</v>
      </c>
      <c r="J199" s="18">
        <v>6838.87</v>
      </c>
      <c r="K199" s="18">
        <v>58.5</v>
      </c>
      <c r="L199" s="19">
        <f t="shared" si="0"/>
        <v>2109434.56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548252.25</v>
      </c>
      <c r="I200" s="18"/>
      <c r="J200" s="18"/>
      <c r="K200" s="18"/>
      <c r="L200" s="19">
        <f t="shared" si="0"/>
        <v>548252.25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2005.19</v>
      </c>
      <c r="H201" s="18"/>
      <c r="I201" s="18"/>
      <c r="J201" s="18"/>
      <c r="K201" s="18"/>
      <c r="L201" s="19">
        <f>SUM(F201:K201)</f>
        <v>2005.19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14073196.170000002</v>
      </c>
      <c r="G203" s="41">
        <f t="shared" si="1"/>
        <v>4624324.9700000007</v>
      </c>
      <c r="H203" s="41">
        <f t="shared" si="1"/>
        <v>2158213.4000000004</v>
      </c>
      <c r="I203" s="41">
        <f t="shared" si="1"/>
        <v>772369.17999999993</v>
      </c>
      <c r="J203" s="41">
        <f t="shared" si="1"/>
        <v>161571.83000000002</v>
      </c>
      <c r="K203" s="41">
        <f t="shared" si="1"/>
        <v>53572.59</v>
      </c>
      <c r="L203" s="41">
        <f t="shared" si="1"/>
        <v>21843248.139999993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3460592.37</v>
      </c>
      <c r="G207" s="18">
        <v>1190044.47</v>
      </c>
      <c r="H207" s="18">
        <v>43043.71</v>
      </c>
      <c r="I207" s="18">
        <v>121803.9</v>
      </c>
      <c r="J207" s="18">
        <v>4986.6099999999997</v>
      </c>
      <c r="K207" s="18">
        <v>1340</v>
      </c>
      <c r="L207" s="19">
        <f>SUM(F207:K207)</f>
        <v>4821811.0600000005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1417466.79</v>
      </c>
      <c r="G208" s="18">
        <v>518227.64</v>
      </c>
      <c r="H208" s="18">
        <v>617535.42000000004</v>
      </c>
      <c r="I208" s="18">
        <v>11043.37</v>
      </c>
      <c r="J208" s="18"/>
      <c r="K208" s="18">
        <v>520</v>
      </c>
      <c r="L208" s="19">
        <f>SUM(F208:K208)</f>
        <v>2564793.2200000002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40024.339999999997</v>
      </c>
      <c r="G210" s="18">
        <v>5772.25</v>
      </c>
      <c r="H210" s="18">
        <v>6743.3</v>
      </c>
      <c r="I210" s="18">
        <v>2142.12</v>
      </c>
      <c r="J210" s="18">
        <v>4713.5200000000004</v>
      </c>
      <c r="K210" s="18">
        <v>4076.75</v>
      </c>
      <c r="L210" s="19">
        <f>SUM(F210:K210)</f>
        <v>63472.28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402028.78</v>
      </c>
      <c r="G212" s="18">
        <v>133587.57</v>
      </c>
      <c r="H212" s="18">
        <v>654.16</v>
      </c>
      <c r="I212" s="18">
        <v>1628.54</v>
      </c>
      <c r="J212" s="18">
        <v>298.42</v>
      </c>
      <c r="K212" s="18"/>
      <c r="L212" s="19">
        <f t="shared" ref="L212:L218" si="2">SUM(F212:K212)</f>
        <v>538197.4700000002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156190.67000000001</v>
      </c>
      <c r="G213" s="18">
        <v>40172.129999999997</v>
      </c>
      <c r="H213" s="18">
        <v>129889.95</v>
      </c>
      <c r="I213" s="18">
        <v>80310.789999999994</v>
      </c>
      <c r="J213" s="18">
        <v>60291.81</v>
      </c>
      <c r="K213" s="18">
        <v>219.54</v>
      </c>
      <c r="L213" s="19">
        <f t="shared" si="2"/>
        <v>467074.88999999996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217681.16</v>
      </c>
      <c r="G214" s="18">
        <v>75909.070000000007</v>
      </c>
      <c r="H214" s="18">
        <v>49961.74</v>
      </c>
      <c r="I214" s="18">
        <v>4759.53</v>
      </c>
      <c r="J214" s="18">
        <v>1528.48</v>
      </c>
      <c r="K214" s="18">
        <v>24175.200000000001</v>
      </c>
      <c r="L214" s="19">
        <f t="shared" si="2"/>
        <v>374015.18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303409.15999999997</v>
      </c>
      <c r="G215" s="18">
        <v>123711.27</v>
      </c>
      <c r="H215" s="18">
        <v>4961.18</v>
      </c>
      <c r="I215" s="18">
        <v>8571.1200000000008</v>
      </c>
      <c r="J215" s="18">
        <v>5150.87</v>
      </c>
      <c r="K215" s="18">
        <v>562</v>
      </c>
      <c r="L215" s="19">
        <f t="shared" si="2"/>
        <v>446365.6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61409.58</v>
      </c>
      <c r="G216" s="18">
        <v>23848.04</v>
      </c>
      <c r="H216" s="18">
        <v>6372.63</v>
      </c>
      <c r="I216" s="18">
        <v>2523.16</v>
      </c>
      <c r="J216" s="18">
        <v>117.7</v>
      </c>
      <c r="K216" s="18">
        <v>291.12</v>
      </c>
      <c r="L216" s="19">
        <f t="shared" si="2"/>
        <v>94562.23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289797.15000000002</v>
      </c>
      <c r="G217" s="18">
        <v>151616.47</v>
      </c>
      <c r="H217" s="18">
        <v>374921.83</v>
      </c>
      <c r="I217" s="18">
        <v>201628.19</v>
      </c>
      <c r="J217" s="18">
        <v>834.97</v>
      </c>
      <c r="K217" s="18">
        <v>28.5</v>
      </c>
      <c r="L217" s="19">
        <f t="shared" si="2"/>
        <v>1018827.1099999999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422843.73</v>
      </c>
      <c r="I218" s="18"/>
      <c r="J218" s="18"/>
      <c r="K218" s="18"/>
      <c r="L218" s="19">
        <f t="shared" si="2"/>
        <v>422843.73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>
        <v>1050.3399999999999</v>
      </c>
      <c r="H219" s="18"/>
      <c r="I219" s="18"/>
      <c r="J219" s="18"/>
      <c r="K219" s="18"/>
      <c r="L219" s="19">
        <f>SUM(F219:K219)</f>
        <v>1050.3399999999999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6348600.0000000009</v>
      </c>
      <c r="G221" s="41">
        <f>SUM(G207:G220)</f>
        <v>2263939.25</v>
      </c>
      <c r="H221" s="41">
        <f>SUM(H207:H220)</f>
        <v>1656927.6500000001</v>
      </c>
      <c r="I221" s="41">
        <f>SUM(I207:I220)</f>
        <v>434410.72</v>
      </c>
      <c r="J221" s="41">
        <f>SUM(J207:J220)</f>
        <v>77922.37999999999</v>
      </c>
      <c r="K221" s="41">
        <f t="shared" si="3"/>
        <v>31213.11</v>
      </c>
      <c r="L221" s="41">
        <f t="shared" si="3"/>
        <v>10813013.110000001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4099072.39-0.08</f>
        <v>4099072.31</v>
      </c>
      <c r="G225" s="18">
        <v>1390854.87</v>
      </c>
      <c r="H225" s="18">
        <v>74469.37</v>
      </c>
      <c r="I225" s="18">
        <v>199781</v>
      </c>
      <c r="J225" s="18">
        <v>28107.9</v>
      </c>
      <c r="K225" s="18">
        <v>35294</v>
      </c>
      <c r="L225" s="19">
        <f>SUM(F225:K225)</f>
        <v>5827579.4500000002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1296529.5</v>
      </c>
      <c r="G226" s="18">
        <v>459835.92</v>
      </c>
      <c r="H226" s="18">
        <v>1241363.6200000001</v>
      </c>
      <c r="I226" s="18">
        <v>8841.2199999999993</v>
      </c>
      <c r="J226" s="18"/>
      <c r="K226" s="18">
        <v>520</v>
      </c>
      <c r="L226" s="19">
        <f>SUM(F226:K226)</f>
        <v>3007090.2600000002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1377800.16</v>
      </c>
      <c r="G227" s="18">
        <v>523875.66</v>
      </c>
      <c r="H227" s="18">
        <v>75756.899999999994</v>
      </c>
      <c r="I227" s="18">
        <v>56560.13</v>
      </c>
      <c r="J227" s="18">
        <v>9869.1</v>
      </c>
      <c r="K227" s="18"/>
      <c r="L227" s="19">
        <f>SUM(F227:K227)</f>
        <v>2043861.9499999997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273388.55</v>
      </c>
      <c r="G228" s="18">
        <v>38125.440000000002</v>
      </c>
      <c r="H228" s="18">
        <v>60689.73</v>
      </c>
      <c r="I228" s="18">
        <v>18768.71</v>
      </c>
      <c r="J228" s="18">
        <v>42421.64</v>
      </c>
      <c r="K228" s="18">
        <v>36690.71</v>
      </c>
      <c r="L228" s="19">
        <f>SUM(F228:K228)</f>
        <v>470084.78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624400.32999999996</v>
      </c>
      <c r="G230" s="18">
        <v>206284.99</v>
      </c>
      <c r="H230" s="18">
        <v>2619.9499999999998</v>
      </c>
      <c r="I230" s="18">
        <v>4468.79</v>
      </c>
      <c r="J230" s="18">
        <v>1518.29</v>
      </c>
      <c r="K230" s="18"/>
      <c r="L230" s="19">
        <f t="shared" ref="L230:L236" si="4">SUM(F230:K230)</f>
        <v>839292.35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236082.63</v>
      </c>
      <c r="G231" s="18">
        <v>49372.75</v>
      </c>
      <c r="H231" s="18">
        <v>212547.20000000001</v>
      </c>
      <c r="I231" s="18">
        <v>72307.289999999994</v>
      </c>
      <c r="J231" s="18">
        <v>96708.11</v>
      </c>
      <c r="K231" s="18">
        <v>359.25</v>
      </c>
      <c r="L231" s="19">
        <f t="shared" si="4"/>
        <v>667377.23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460701.64</v>
      </c>
      <c r="G232" s="18">
        <v>238186.37</v>
      </c>
      <c r="H232" s="18">
        <v>83771.47</v>
      </c>
      <c r="I232" s="18">
        <v>15132.58</v>
      </c>
      <c r="J232" s="18">
        <v>9178.3700000000008</v>
      </c>
      <c r="K232" s="18">
        <v>39559.42</v>
      </c>
      <c r="L232" s="19">
        <f t="shared" si="4"/>
        <v>846529.85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553752.86</v>
      </c>
      <c r="G233" s="18">
        <v>163963.54999999999</v>
      </c>
      <c r="H233" s="18">
        <v>20895.18</v>
      </c>
      <c r="I233" s="18">
        <v>13909.3</v>
      </c>
      <c r="J233" s="18"/>
      <c r="K233" s="18">
        <v>7542</v>
      </c>
      <c r="L233" s="19">
        <f t="shared" si="4"/>
        <v>760062.89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100488.41</v>
      </c>
      <c r="G234" s="18">
        <v>39024.050000000003</v>
      </c>
      <c r="H234" s="18">
        <v>10427.94</v>
      </c>
      <c r="I234" s="18">
        <v>4128.8</v>
      </c>
      <c r="J234" s="18">
        <v>192.6</v>
      </c>
      <c r="K234" s="18">
        <v>476.37</v>
      </c>
      <c r="L234" s="19">
        <f t="shared" si="4"/>
        <v>154738.17000000001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504829.52</v>
      </c>
      <c r="G235" s="18">
        <v>205651.08</v>
      </c>
      <c r="H235" s="18">
        <v>811761.29</v>
      </c>
      <c r="I235" s="18">
        <v>410919.54</v>
      </c>
      <c r="J235" s="18">
        <v>953.78</v>
      </c>
      <c r="K235" s="18">
        <v>63</v>
      </c>
      <c r="L235" s="19">
        <f t="shared" si="4"/>
        <v>1934178.2100000002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752613.88</v>
      </c>
      <c r="I236" s="18"/>
      <c r="J236" s="18"/>
      <c r="K236" s="18"/>
      <c r="L236" s="19">
        <f t="shared" si="4"/>
        <v>752613.88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>
        <v>1718.73</v>
      </c>
      <c r="H237" s="18"/>
      <c r="I237" s="18"/>
      <c r="J237" s="18"/>
      <c r="K237" s="18"/>
      <c r="L237" s="19">
        <f>SUM(F237:K237)</f>
        <v>1718.73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9527045.9100000001</v>
      </c>
      <c r="G239" s="41">
        <f t="shared" si="5"/>
        <v>3316893.4099999997</v>
      </c>
      <c r="H239" s="41">
        <f t="shared" si="5"/>
        <v>3346916.53</v>
      </c>
      <c r="I239" s="41">
        <f t="shared" si="5"/>
        <v>804817.35999999987</v>
      </c>
      <c r="J239" s="41">
        <f t="shared" si="5"/>
        <v>188949.78999999998</v>
      </c>
      <c r="K239" s="41">
        <f t="shared" si="5"/>
        <v>120504.74999999999</v>
      </c>
      <c r="L239" s="41">
        <f t="shared" si="5"/>
        <v>17305127.75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f>3574.2+558.11</f>
        <v>4132.3099999999995</v>
      </c>
      <c r="G243" s="18">
        <f>315.04+195.43+56</f>
        <v>566.47</v>
      </c>
      <c r="H243" s="18">
        <v>892</v>
      </c>
      <c r="I243" s="18">
        <v>200.8</v>
      </c>
      <c r="J243" s="18"/>
      <c r="K243" s="18"/>
      <c r="L243" s="19">
        <f t="shared" si="6"/>
        <v>5791.58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4132.3099999999995</v>
      </c>
      <c r="G248" s="41">
        <f t="shared" si="7"/>
        <v>566.47</v>
      </c>
      <c r="H248" s="41">
        <f t="shared" si="7"/>
        <v>892</v>
      </c>
      <c r="I248" s="41">
        <f t="shared" si="7"/>
        <v>200.8</v>
      </c>
      <c r="J248" s="41">
        <f t="shared" si="7"/>
        <v>0</v>
      </c>
      <c r="K248" s="41">
        <f t="shared" si="7"/>
        <v>0</v>
      </c>
      <c r="L248" s="41">
        <f>SUM(F248:K248)</f>
        <v>5791.58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29952974.390000001</v>
      </c>
      <c r="G249" s="41">
        <f t="shared" si="8"/>
        <v>10205724.100000001</v>
      </c>
      <c r="H249" s="41">
        <f t="shared" si="8"/>
        <v>7162949.5800000001</v>
      </c>
      <c r="I249" s="41">
        <f t="shared" si="8"/>
        <v>2011798.0599999998</v>
      </c>
      <c r="J249" s="41">
        <f t="shared" si="8"/>
        <v>428444</v>
      </c>
      <c r="K249" s="41">
        <f t="shared" si="8"/>
        <v>205290.44999999998</v>
      </c>
      <c r="L249" s="41">
        <f t="shared" si="8"/>
        <v>49967180.579999991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2727573.93</v>
      </c>
      <c r="L252" s="19">
        <f>SUM(F252:K252)</f>
        <v>2727573.93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715854.13</v>
      </c>
      <c r="L253" s="19">
        <f>SUM(F253:K253)</f>
        <v>715854.13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3443428.06</v>
      </c>
      <c r="L262" s="41">
        <f t="shared" si="9"/>
        <v>3443428.06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29952974.390000001</v>
      </c>
      <c r="G263" s="42">
        <f t="shared" si="11"/>
        <v>10205724.100000001</v>
      </c>
      <c r="H263" s="42">
        <f t="shared" si="11"/>
        <v>7162949.5800000001</v>
      </c>
      <c r="I263" s="42">
        <f t="shared" si="11"/>
        <v>2011798.0599999998</v>
      </c>
      <c r="J263" s="42">
        <f t="shared" si="11"/>
        <v>428444</v>
      </c>
      <c r="K263" s="42">
        <f t="shared" si="11"/>
        <v>3648718.5100000002</v>
      </c>
      <c r="L263" s="42">
        <f t="shared" si="11"/>
        <v>53410608.639999993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166552.66</v>
      </c>
      <c r="G268" s="18">
        <v>46577.13</v>
      </c>
      <c r="H268" s="18">
        <v>32285.7</v>
      </c>
      <c r="I268" s="18">
        <v>35774.97</v>
      </c>
      <c r="J268" s="18">
        <v>1184.77</v>
      </c>
      <c r="K268" s="18"/>
      <c r="L268" s="19">
        <f>SUM(F268:K268)</f>
        <v>282375.23000000004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1253921.71</v>
      </c>
      <c r="G269" s="18">
        <v>399843.56</v>
      </c>
      <c r="H269" s="18">
        <v>205010.86</v>
      </c>
      <c r="I269" s="18">
        <v>38021.18</v>
      </c>
      <c r="J269" s="18">
        <v>21213.49</v>
      </c>
      <c r="K269" s="18"/>
      <c r="L269" s="19">
        <f>SUM(F269:K269)</f>
        <v>1918010.7999999998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5813.4</v>
      </c>
      <c r="G270" s="18">
        <v>776.82</v>
      </c>
      <c r="H270" s="18"/>
      <c r="I270" s="18">
        <v>3139.92</v>
      </c>
      <c r="J270" s="18"/>
      <c r="K270" s="18"/>
      <c r="L270" s="19">
        <f>SUM(F270:K270)</f>
        <v>9730.14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348371.16</v>
      </c>
      <c r="G273" s="18">
        <v>103634.72</v>
      </c>
      <c r="H273" s="18">
        <v>68603.149999999994</v>
      </c>
      <c r="I273" s="18">
        <v>3238.11</v>
      </c>
      <c r="J273" s="18"/>
      <c r="K273" s="18"/>
      <c r="L273" s="19">
        <f t="shared" ref="L273:L279" si="12">SUM(F273:K273)</f>
        <v>523847.14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57414.59</v>
      </c>
      <c r="G274" s="18">
        <v>34058.36</v>
      </c>
      <c r="H274" s="18">
        <v>7352.64</v>
      </c>
      <c r="I274" s="18">
        <v>4500.2</v>
      </c>
      <c r="J274" s="18"/>
      <c r="K274" s="18"/>
      <c r="L274" s="19">
        <f t="shared" si="12"/>
        <v>103325.79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114915.43</v>
      </c>
      <c r="G275" s="18">
        <v>34403.519999999997</v>
      </c>
      <c r="H275" s="18">
        <v>18048.330000000002</v>
      </c>
      <c r="I275" s="18">
        <v>300.97000000000003</v>
      </c>
      <c r="J275" s="18">
        <v>0</v>
      </c>
      <c r="K275" s="18">
        <v>50</v>
      </c>
      <c r="L275" s="19">
        <f t="shared" si="12"/>
        <v>167718.24999999997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48645.68</v>
      </c>
      <c r="L277" s="19">
        <f t="shared" si="12"/>
        <v>48645.68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>
        <v>340.33</v>
      </c>
      <c r="J280" s="18">
        <v>1018.61</v>
      </c>
      <c r="K280" s="18"/>
      <c r="L280" s="19">
        <f>SUM(F280:K280)</f>
        <v>1358.94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1946988.9499999997</v>
      </c>
      <c r="G282" s="42">
        <f t="shared" si="13"/>
        <v>619294.11</v>
      </c>
      <c r="H282" s="42">
        <f t="shared" si="13"/>
        <v>331300.68</v>
      </c>
      <c r="I282" s="42">
        <f t="shared" si="13"/>
        <v>85315.68</v>
      </c>
      <c r="J282" s="42">
        <f t="shared" si="13"/>
        <v>23416.870000000003</v>
      </c>
      <c r="K282" s="42">
        <f t="shared" si="13"/>
        <v>48695.68</v>
      </c>
      <c r="L282" s="41">
        <f t="shared" si="13"/>
        <v>3055011.97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35209.86</v>
      </c>
      <c r="G287" s="18">
        <v>5705.3</v>
      </c>
      <c r="H287" s="18">
        <v>220</v>
      </c>
      <c r="I287" s="18">
        <v>4116.1499999999996</v>
      </c>
      <c r="J287" s="18">
        <v>620.6</v>
      </c>
      <c r="K287" s="18"/>
      <c r="L287" s="19">
        <f>SUM(F287:K287)</f>
        <v>45871.91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120269.93</v>
      </c>
      <c r="G288" s="18">
        <v>31473.98</v>
      </c>
      <c r="H288" s="18">
        <v>57259.79</v>
      </c>
      <c r="I288" s="18">
        <v>14125.36</v>
      </c>
      <c r="J288" s="18">
        <v>11111.83</v>
      </c>
      <c r="K288" s="18"/>
      <c r="L288" s="19">
        <f>SUM(F288:K288)</f>
        <v>234240.88999999998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3045.12</v>
      </c>
      <c r="G289" s="18">
        <v>406.9</v>
      </c>
      <c r="H289" s="18"/>
      <c r="I289" s="18">
        <v>1644.72</v>
      </c>
      <c r="J289" s="18"/>
      <c r="K289" s="18"/>
      <c r="L289" s="19">
        <f>SUM(F289:K289)</f>
        <v>5096.74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166635.96</v>
      </c>
      <c r="G292" s="18">
        <v>49678.8</v>
      </c>
      <c r="H292" s="18">
        <v>35934.99</v>
      </c>
      <c r="I292" s="18">
        <v>1696.15</v>
      </c>
      <c r="J292" s="18"/>
      <c r="K292" s="18"/>
      <c r="L292" s="19">
        <f t="shared" ref="L292:L298" si="14">SUM(F292:K292)</f>
        <v>253945.9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4862.8</v>
      </c>
      <c r="G293" s="18">
        <v>584.6</v>
      </c>
      <c r="H293" s="18">
        <v>3554.38</v>
      </c>
      <c r="I293" s="18">
        <v>545.63</v>
      </c>
      <c r="J293" s="18"/>
      <c r="K293" s="18"/>
      <c r="L293" s="19">
        <f t="shared" si="14"/>
        <v>9547.41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17431.060000000001</v>
      </c>
      <c r="G294" s="18">
        <v>6278.69</v>
      </c>
      <c r="H294" s="18">
        <v>1888.42</v>
      </c>
      <c r="I294" s="18"/>
      <c r="J294" s="18"/>
      <c r="K294" s="18"/>
      <c r="L294" s="19">
        <f t="shared" si="14"/>
        <v>25598.17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v>18658.87</v>
      </c>
      <c r="L296" s="19">
        <f t="shared" si="14"/>
        <v>18658.87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>
        <v>178.27</v>
      </c>
      <c r="J299" s="18">
        <v>533.55999999999995</v>
      </c>
      <c r="K299" s="18"/>
      <c r="L299" s="19">
        <f>SUM(F299:K299)</f>
        <v>711.82999999999993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347454.73</v>
      </c>
      <c r="G301" s="42">
        <f t="shared" si="15"/>
        <v>94128.270000000019</v>
      </c>
      <c r="H301" s="42">
        <f t="shared" si="15"/>
        <v>98857.58</v>
      </c>
      <c r="I301" s="42">
        <f t="shared" si="15"/>
        <v>22306.280000000006</v>
      </c>
      <c r="J301" s="42">
        <f t="shared" si="15"/>
        <v>12265.99</v>
      </c>
      <c r="K301" s="42">
        <f t="shared" si="15"/>
        <v>18658.87</v>
      </c>
      <c r="L301" s="41">
        <f t="shared" si="15"/>
        <v>593671.72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57616.13</v>
      </c>
      <c r="G306" s="18">
        <v>9335.93</v>
      </c>
      <c r="H306" s="18">
        <v>18960</v>
      </c>
      <c r="I306" s="18">
        <v>6735.53</v>
      </c>
      <c r="J306" s="18">
        <v>1015.52</v>
      </c>
      <c r="K306" s="18"/>
      <c r="L306" s="19">
        <f>SUM(F306:K306)</f>
        <v>93663.11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185126.49</v>
      </c>
      <c r="G307" s="18">
        <v>49733.86</v>
      </c>
      <c r="H307" s="18">
        <v>93697.83</v>
      </c>
      <c r="I307" s="18">
        <v>18401.48</v>
      </c>
      <c r="J307" s="18">
        <v>18182.990000000002</v>
      </c>
      <c r="K307" s="18"/>
      <c r="L307" s="19">
        <f>SUM(F307:K307)</f>
        <v>365142.64999999997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4982.92</v>
      </c>
      <c r="G308" s="18">
        <v>665.85</v>
      </c>
      <c r="H308" s="18">
        <v>19176.14</v>
      </c>
      <c r="I308" s="18">
        <v>8881.51</v>
      </c>
      <c r="J308" s="18">
        <v>130576.98</v>
      </c>
      <c r="K308" s="18">
        <v>4867.8599999999997</v>
      </c>
      <c r="L308" s="19">
        <f>SUM(F308:K308)</f>
        <v>169151.25999999998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272677.02</v>
      </c>
      <c r="G311" s="18">
        <v>81292.58</v>
      </c>
      <c r="H311" s="18">
        <v>58802.71</v>
      </c>
      <c r="I311" s="18">
        <v>2775.53</v>
      </c>
      <c r="J311" s="18"/>
      <c r="K311" s="18"/>
      <c r="L311" s="19">
        <f t="shared" ref="L311:L317" si="16">SUM(F311:K311)</f>
        <v>415547.84000000008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7957.32</v>
      </c>
      <c r="G312" s="18">
        <v>956.61</v>
      </c>
      <c r="H312" s="18">
        <v>5816.26</v>
      </c>
      <c r="I312" s="18">
        <v>892.84</v>
      </c>
      <c r="J312" s="18"/>
      <c r="K312" s="18"/>
      <c r="L312" s="19">
        <f t="shared" si="16"/>
        <v>15623.03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28523.54</v>
      </c>
      <c r="G313" s="18">
        <v>10274.219999999999</v>
      </c>
      <c r="H313" s="18">
        <v>3090.14</v>
      </c>
      <c r="I313" s="18"/>
      <c r="J313" s="18"/>
      <c r="K313" s="18"/>
      <c r="L313" s="19">
        <f t="shared" si="16"/>
        <v>41887.9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f>35948.71-0.04</f>
        <v>35948.67</v>
      </c>
      <c r="L315" s="19">
        <f t="shared" si="16"/>
        <v>35948.67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>
        <v>291.72000000000003</v>
      </c>
      <c r="J318" s="18">
        <v>873.09</v>
      </c>
      <c r="K318" s="18"/>
      <c r="L318" s="19">
        <f>SUM(F318:K318)</f>
        <v>1164.81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556883.42000000004</v>
      </c>
      <c r="G320" s="42">
        <f t="shared" si="17"/>
        <v>152259.04999999999</v>
      </c>
      <c r="H320" s="42">
        <f t="shared" si="17"/>
        <v>199543.08000000002</v>
      </c>
      <c r="I320" s="42">
        <f t="shared" si="17"/>
        <v>37978.609999999993</v>
      </c>
      <c r="J320" s="42">
        <f t="shared" si="17"/>
        <v>150648.57999999999</v>
      </c>
      <c r="K320" s="42">
        <f t="shared" si="17"/>
        <v>40816.53</v>
      </c>
      <c r="L320" s="41">
        <f t="shared" si="17"/>
        <v>1138129.2699999998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7412.38</v>
      </c>
      <c r="G325" s="18">
        <v>995.63</v>
      </c>
      <c r="H325" s="18">
        <v>595</v>
      </c>
      <c r="I325" s="18"/>
      <c r="J325" s="18"/>
      <c r="K325" s="18"/>
      <c r="L325" s="19">
        <f t="shared" si="18"/>
        <v>9003.01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>
        <v>470.95</v>
      </c>
      <c r="J327" s="18"/>
      <c r="K327" s="18"/>
      <c r="L327" s="19">
        <f t="shared" si="18"/>
        <v>470.95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7412.38</v>
      </c>
      <c r="G329" s="41">
        <f t="shared" si="19"/>
        <v>995.63</v>
      </c>
      <c r="H329" s="41">
        <f t="shared" si="19"/>
        <v>595</v>
      </c>
      <c r="I329" s="41">
        <f t="shared" si="19"/>
        <v>470.95</v>
      </c>
      <c r="J329" s="41">
        <f t="shared" si="19"/>
        <v>0</v>
      </c>
      <c r="K329" s="41">
        <f t="shared" si="19"/>
        <v>0</v>
      </c>
      <c r="L329" s="41">
        <f t="shared" si="18"/>
        <v>9473.9600000000009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2858739.4799999995</v>
      </c>
      <c r="G330" s="41">
        <f t="shared" si="20"/>
        <v>866677.05999999994</v>
      </c>
      <c r="H330" s="41">
        <f t="shared" si="20"/>
        <v>630296.34000000008</v>
      </c>
      <c r="I330" s="41">
        <f t="shared" si="20"/>
        <v>146071.51999999999</v>
      </c>
      <c r="J330" s="41">
        <f t="shared" si="20"/>
        <v>186331.44</v>
      </c>
      <c r="K330" s="41">
        <f t="shared" si="20"/>
        <v>108171.08</v>
      </c>
      <c r="L330" s="41">
        <f t="shared" si="20"/>
        <v>4796286.92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2858739.4799999995</v>
      </c>
      <c r="G344" s="41">
        <f>G330</f>
        <v>866677.05999999994</v>
      </c>
      <c r="H344" s="41">
        <f>H330</f>
        <v>630296.34000000008</v>
      </c>
      <c r="I344" s="41">
        <f>I330</f>
        <v>146071.51999999999</v>
      </c>
      <c r="J344" s="41">
        <f>J330</f>
        <v>186331.44</v>
      </c>
      <c r="K344" s="47">
        <f>K330+K343</f>
        <v>108171.08</v>
      </c>
      <c r="L344" s="41">
        <f>L330+L343</f>
        <v>4796286.92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226901.17</v>
      </c>
      <c r="G350" s="18">
        <v>74538.53</v>
      </c>
      <c r="H350" s="18">
        <v>139567.5</v>
      </c>
      <c r="I350" s="18">
        <v>311145.53999999998</v>
      </c>
      <c r="J350" s="18"/>
      <c r="K350" s="18"/>
      <c r="L350" s="13">
        <f>SUM(F350:K350)</f>
        <v>752152.74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89775.46</v>
      </c>
      <c r="G351" s="18">
        <v>23337.29</v>
      </c>
      <c r="H351" s="18">
        <v>69609.14</v>
      </c>
      <c r="I351" s="18">
        <v>152296</v>
      </c>
      <c r="J351" s="18"/>
      <c r="K351" s="18"/>
      <c r="L351" s="19">
        <f>SUM(F351:K351)</f>
        <v>335017.89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169535.65+0.01</f>
        <v>169535.66</v>
      </c>
      <c r="G352" s="18">
        <v>52510.27</v>
      </c>
      <c r="H352" s="18">
        <v>122071.55</v>
      </c>
      <c r="I352" s="18">
        <v>249211.63</v>
      </c>
      <c r="J352" s="18"/>
      <c r="K352" s="18"/>
      <c r="L352" s="19">
        <f>SUM(F352:K352)</f>
        <v>593329.11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486212.29000000004</v>
      </c>
      <c r="G354" s="47">
        <f t="shared" si="22"/>
        <v>150386.09</v>
      </c>
      <c r="H354" s="47">
        <f t="shared" si="22"/>
        <v>331248.19</v>
      </c>
      <c r="I354" s="47">
        <f t="shared" si="22"/>
        <v>712653.16999999993</v>
      </c>
      <c r="J354" s="47">
        <f t="shared" si="22"/>
        <v>0</v>
      </c>
      <c r="K354" s="47">
        <f t="shared" si="22"/>
        <v>0</v>
      </c>
      <c r="L354" s="47">
        <f t="shared" si="22"/>
        <v>1680499.7399999998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269174.53999999998</v>
      </c>
      <c r="G359" s="18">
        <v>140996.19</v>
      </c>
      <c r="H359" s="18">
        <v>230721.04</v>
      </c>
      <c r="I359" s="56">
        <f>SUM(F359:H359)</f>
        <v>640891.77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41970.99</v>
      </c>
      <c r="G360" s="63">
        <v>11299.81</v>
      </c>
      <c r="H360" s="63">
        <v>18490.599999999999</v>
      </c>
      <c r="I360" s="56">
        <f>SUM(F360:H360)</f>
        <v>71761.399999999994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311145.52999999997</v>
      </c>
      <c r="G361" s="47">
        <f>SUM(G359:G360)</f>
        <v>152296</v>
      </c>
      <c r="H361" s="47">
        <f>SUM(H359:H360)</f>
        <v>249211.64</v>
      </c>
      <c r="I361" s="47">
        <f>SUM(I359:I360)</f>
        <v>712653.17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>
        <v>366686.22</v>
      </c>
      <c r="K371" s="18"/>
      <c r="L371" s="13">
        <f t="shared" si="23"/>
        <v>366686.22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366686.22</v>
      </c>
      <c r="K374" s="47">
        <f t="shared" si="24"/>
        <v>0</v>
      </c>
      <c r="L374" s="47">
        <f t="shared" si="24"/>
        <v>366686.22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/>
      <c r="G455" s="18">
        <v>200947.69</v>
      </c>
      <c r="H455" s="18">
        <v>44480.81</v>
      </c>
      <c r="I455" s="18">
        <v>370055.79</v>
      </c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54480276.709999993</v>
      </c>
      <c r="G458" s="18">
        <v>1765851.86</v>
      </c>
      <c r="H458" s="18">
        <f>H185</f>
        <v>4795797.6499999994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9660.92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54480276.709999993</v>
      </c>
      <c r="G460" s="53">
        <f>SUM(G458:G459)</f>
        <v>1775512.78</v>
      </c>
      <c r="H460" s="53">
        <f>SUM(H458:H459)</f>
        <v>4795797.6499999994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53410608.639999993</v>
      </c>
      <c r="G462" s="18">
        <v>1680499.74</v>
      </c>
      <c r="H462" s="18">
        <f>L344</f>
        <v>4796286.92</v>
      </c>
      <c r="I462" s="18">
        <v>366686.22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F458-F462</f>
        <v>1069668.0700000003</v>
      </c>
      <c r="G463" s="18">
        <v>10701.74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54480276.709999993</v>
      </c>
      <c r="G464" s="53">
        <f>SUM(G462:G463)</f>
        <v>1691201.48</v>
      </c>
      <c r="H464" s="53">
        <f>SUM(H462:H463)</f>
        <v>4796286.92</v>
      </c>
      <c r="I464" s="53">
        <f>SUM(I462:I463)</f>
        <v>366686.22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285258.99</v>
      </c>
      <c r="H466" s="53">
        <f>(H455+H460)- H464</f>
        <v>43991.539999999106</v>
      </c>
      <c r="I466" s="53">
        <f>(I455+I460)- I464</f>
        <v>3369.570000000007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 t="s">
        <v>894</v>
      </c>
      <c r="G480" s="154">
        <v>20</v>
      </c>
      <c r="H480" s="154">
        <v>20</v>
      </c>
      <c r="I480" s="154">
        <v>20</v>
      </c>
      <c r="J480" s="154" t="s">
        <v>894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 t="s">
        <v>897</v>
      </c>
      <c r="J481" s="154" t="s">
        <v>894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898</v>
      </c>
      <c r="G482" s="155" t="s">
        <v>899</v>
      </c>
      <c r="H482" s="155" t="s">
        <v>900</v>
      </c>
      <c r="I482" s="155" t="s">
        <v>901</v>
      </c>
      <c r="J482" s="155" t="s">
        <v>902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 t="s">
        <v>894</v>
      </c>
      <c r="G483" s="18">
        <v>4704717</v>
      </c>
      <c r="H483" s="18">
        <v>3237000</v>
      </c>
      <c r="I483" s="18">
        <v>1378525</v>
      </c>
      <c r="J483" s="18">
        <v>1992991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 t="s">
        <v>894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9982323</v>
      </c>
      <c r="G485" s="18">
        <v>2401611</v>
      </c>
      <c r="H485" s="18">
        <v>2247000</v>
      </c>
      <c r="I485" s="18">
        <v>1100000</v>
      </c>
      <c r="J485" s="18">
        <v>1850042</v>
      </c>
      <c r="K485" s="53">
        <f>SUM(F485:J485)</f>
        <v>17580976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432946</v>
      </c>
      <c r="G486" s="18"/>
      <c r="H486" s="18"/>
      <c r="I486" s="18"/>
      <c r="J486" s="18">
        <v>686402</v>
      </c>
      <c r="K486" s="53">
        <f t="shared" ref="K486:K493" si="34">SUM(F486:J486)</f>
        <v>1119348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8262342</v>
      </c>
      <c r="G488" s="205">
        <v>2162913</v>
      </c>
      <c r="H488" s="205">
        <v>2082000</v>
      </c>
      <c r="I488" s="205">
        <v>1030000</v>
      </c>
      <c r="J488" s="205">
        <v>2435495</v>
      </c>
      <c r="K488" s="206">
        <f t="shared" si="34"/>
        <v>15972750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1195136</v>
      </c>
      <c r="G489" s="18">
        <v>224558</v>
      </c>
      <c r="H489" s="18">
        <v>611165</v>
      </c>
      <c r="I489" s="18">
        <v>350863</v>
      </c>
      <c r="J489" s="18">
        <v>949571</v>
      </c>
      <c r="K489" s="53">
        <f t="shared" si="34"/>
        <v>3331293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9457478</v>
      </c>
      <c r="G490" s="42">
        <f>SUM(G488:G489)</f>
        <v>2387471</v>
      </c>
      <c r="H490" s="42">
        <f>SUM(H488:H489)</f>
        <v>2693165</v>
      </c>
      <c r="I490" s="42">
        <f>SUM(I488:I489)</f>
        <v>1380863</v>
      </c>
      <c r="J490" s="42">
        <f>SUM(J488:J489)</f>
        <v>3385066</v>
      </c>
      <c r="K490" s="42">
        <f t="shared" si="34"/>
        <v>19304043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1995124</v>
      </c>
      <c r="G491" s="205">
        <v>237535</v>
      </c>
      <c r="H491" s="205">
        <v>165000</v>
      </c>
      <c r="I491" s="205">
        <v>70000</v>
      </c>
      <c r="J491" s="205">
        <v>135351</v>
      </c>
      <c r="K491" s="206">
        <f t="shared" si="34"/>
        <v>2603010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353289</v>
      </c>
      <c r="G492" s="18">
        <v>41580</v>
      </c>
      <c r="H492" s="18">
        <v>89963</v>
      </c>
      <c r="I492" s="18">
        <v>43850</v>
      </c>
      <c r="J492" s="18">
        <v>93377</v>
      </c>
      <c r="K492" s="53">
        <f t="shared" si="34"/>
        <v>622059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2348413</v>
      </c>
      <c r="G493" s="42">
        <f>SUM(G491:G492)</f>
        <v>279115</v>
      </c>
      <c r="H493" s="42">
        <f>SUM(H491:H492)</f>
        <v>254963</v>
      </c>
      <c r="I493" s="42">
        <f>SUM(I491:I492)</f>
        <v>113850</v>
      </c>
      <c r="J493" s="42">
        <f>SUM(J491:J492)</f>
        <v>228728</v>
      </c>
      <c r="K493" s="42">
        <f t="shared" si="34"/>
        <v>3225069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4545910.25</v>
      </c>
      <c r="G511" s="18">
        <v>1308968.45</v>
      </c>
      <c r="H511" s="18">
        <v>216476.4</v>
      </c>
      <c r="I511" s="18">
        <v>31000.33</v>
      </c>
      <c r="J511" s="18">
        <v>3629.13</v>
      </c>
      <c r="K511" s="18">
        <v>820</v>
      </c>
      <c r="L511" s="88">
        <f>SUM(F511:K511)</f>
        <v>6106804.5600000005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1424510.28</v>
      </c>
      <c r="G512" s="18">
        <v>518605.13</v>
      </c>
      <c r="H512" s="18">
        <v>333281.07</v>
      </c>
      <c r="I512" s="18">
        <v>11043.37</v>
      </c>
      <c r="J512" s="18"/>
      <c r="K512" s="18">
        <v>520</v>
      </c>
      <c r="L512" s="88">
        <f>SUM(F512:K512)</f>
        <v>2287959.85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1308055.23</v>
      </c>
      <c r="G513" s="18">
        <v>460453.63</v>
      </c>
      <c r="H513" s="18">
        <v>1010984.49</v>
      </c>
      <c r="I513" s="18">
        <v>8841.2199999999993</v>
      </c>
      <c r="J513" s="18"/>
      <c r="K513" s="18">
        <v>520</v>
      </c>
      <c r="L513" s="88">
        <f>SUM(F513:K513)</f>
        <v>2788854.57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7278475.7599999998</v>
      </c>
      <c r="G514" s="108">
        <f t="shared" ref="G514:L514" si="35">SUM(G511:G513)</f>
        <v>2288027.21</v>
      </c>
      <c r="H514" s="108">
        <f t="shared" si="35"/>
        <v>1560741.96</v>
      </c>
      <c r="I514" s="108">
        <f t="shared" si="35"/>
        <v>50884.920000000006</v>
      </c>
      <c r="J514" s="108">
        <f t="shared" si="35"/>
        <v>3629.13</v>
      </c>
      <c r="K514" s="108">
        <f t="shared" si="35"/>
        <v>1860</v>
      </c>
      <c r="L514" s="89">
        <f t="shared" si="35"/>
        <v>11183618.98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272168.44</v>
      </c>
      <c r="G516" s="18">
        <v>82262.27</v>
      </c>
      <c r="H516" s="18">
        <v>187288.33</v>
      </c>
      <c r="I516" s="18">
        <v>466.19</v>
      </c>
      <c r="J516" s="18"/>
      <c r="K516" s="18"/>
      <c r="L516" s="88">
        <f>SUM(F516:K516)</f>
        <v>542185.23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126720.24</v>
      </c>
      <c r="G517" s="18">
        <v>38483.71</v>
      </c>
      <c r="H517" s="18">
        <v>284924.87</v>
      </c>
      <c r="I517" s="18">
        <v>244.2</v>
      </c>
      <c r="J517" s="18"/>
      <c r="K517" s="18"/>
      <c r="L517" s="88">
        <f>SUM(F517:K517)</f>
        <v>450373.02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207360.39</v>
      </c>
      <c r="G518" s="18">
        <v>62973.35</v>
      </c>
      <c r="H518" s="18">
        <v>231476.35</v>
      </c>
      <c r="I518" s="18">
        <v>399.59</v>
      </c>
      <c r="J518" s="18"/>
      <c r="K518" s="18"/>
      <c r="L518" s="88">
        <f>SUM(F518:K518)</f>
        <v>502209.68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606249.07000000007</v>
      </c>
      <c r="G519" s="89">
        <f t="shared" ref="G519:L519" si="36">SUM(G516:G518)</f>
        <v>183719.33000000002</v>
      </c>
      <c r="H519" s="89">
        <f t="shared" si="36"/>
        <v>703689.54999999993</v>
      </c>
      <c r="I519" s="89">
        <f t="shared" si="36"/>
        <v>1109.98</v>
      </c>
      <c r="J519" s="89">
        <f t="shared" si="36"/>
        <v>0</v>
      </c>
      <c r="K519" s="89">
        <f t="shared" si="36"/>
        <v>0</v>
      </c>
      <c r="L519" s="89">
        <f t="shared" si="36"/>
        <v>1494767.93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164161.87</v>
      </c>
      <c r="G521" s="18">
        <v>56246.09</v>
      </c>
      <c r="H521" s="18">
        <v>1933.59</v>
      </c>
      <c r="I521" s="18">
        <v>556.79999999999995</v>
      </c>
      <c r="J521" s="18"/>
      <c r="K521" s="18">
        <v>30638.959999999999</v>
      </c>
      <c r="L521" s="88">
        <f>SUM(F521:K521)</f>
        <v>253537.30999999997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85989.55</v>
      </c>
      <c r="G522" s="18">
        <v>29462.240000000002</v>
      </c>
      <c r="H522" s="18">
        <v>1012.83</v>
      </c>
      <c r="I522" s="18">
        <v>291.66000000000003</v>
      </c>
      <c r="J522" s="18"/>
      <c r="K522" s="18">
        <v>9226.7800000000007</v>
      </c>
      <c r="L522" s="88">
        <f>SUM(F522:K522)</f>
        <v>125983.06000000001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140710.18</v>
      </c>
      <c r="G523" s="18">
        <v>48210.92</v>
      </c>
      <c r="H523" s="18">
        <v>1657.36</v>
      </c>
      <c r="I523" s="18">
        <v>477.26</v>
      </c>
      <c r="J523" s="18"/>
      <c r="K523" s="18">
        <v>14579.2</v>
      </c>
      <c r="L523" s="88">
        <f>SUM(F523:K523)</f>
        <v>205634.91999999998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390861.6</v>
      </c>
      <c r="G524" s="89">
        <f t="shared" ref="G524:L524" si="37">SUM(G521:G523)</f>
        <v>133919.25</v>
      </c>
      <c r="H524" s="89">
        <f t="shared" si="37"/>
        <v>4603.78</v>
      </c>
      <c r="I524" s="89">
        <f t="shared" si="37"/>
        <v>1325.72</v>
      </c>
      <c r="J524" s="89">
        <f t="shared" si="37"/>
        <v>0</v>
      </c>
      <c r="K524" s="89">
        <f t="shared" si="37"/>
        <v>54444.94</v>
      </c>
      <c r="L524" s="89">
        <f t="shared" si="37"/>
        <v>585155.29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4323.12</v>
      </c>
      <c r="I526" s="18"/>
      <c r="J526" s="18"/>
      <c r="K526" s="18"/>
      <c r="L526" s="88">
        <f>SUM(F526:K526)</f>
        <v>4323.12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2264.4899999999998</v>
      </c>
      <c r="I527" s="18"/>
      <c r="J527" s="18"/>
      <c r="K527" s="18"/>
      <c r="L527" s="88">
        <f>SUM(F527:K527)</f>
        <v>2264.4899999999998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3705.53</v>
      </c>
      <c r="I528" s="18"/>
      <c r="J528" s="18"/>
      <c r="K528" s="18"/>
      <c r="L528" s="88">
        <f>SUM(F528:K528)</f>
        <v>3705.53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10293.14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10293.14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165960.6</v>
      </c>
      <c r="I531" s="18"/>
      <c r="J531" s="18"/>
      <c r="K531" s="18"/>
      <c r="L531" s="88">
        <f>SUM(F531:K531)</f>
        <v>165960.6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212764.7</v>
      </c>
      <c r="I532" s="18"/>
      <c r="J532" s="18"/>
      <c r="K532" s="18"/>
      <c r="L532" s="88">
        <f>SUM(F532:K532)</f>
        <v>212764.7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305249.65000000002</v>
      </c>
      <c r="I533" s="18"/>
      <c r="J533" s="18"/>
      <c r="K533" s="18"/>
      <c r="L533" s="88">
        <f>SUM(F533:K533)</f>
        <v>305249.65000000002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683974.95000000007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683974.95000000007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8275586.4299999997</v>
      </c>
      <c r="G535" s="89">
        <f t="shared" ref="G535:L535" si="40">G514+G519+G524+G529+G534</f>
        <v>2605665.79</v>
      </c>
      <c r="H535" s="89">
        <f t="shared" si="40"/>
        <v>2963303.38</v>
      </c>
      <c r="I535" s="89">
        <f t="shared" si="40"/>
        <v>53320.62000000001</v>
      </c>
      <c r="J535" s="89">
        <f t="shared" si="40"/>
        <v>3629.13</v>
      </c>
      <c r="K535" s="89">
        <f t="shared" si="40"/>
        <v>56304.94</v>
      </c>
      <c r="L535" s="89">
        <f t="shared" si="40"/>
        <v>13957810.289999999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6106804.5600000005</v>
      </c>
      <c r="G539" s="87">
        <f>L516</f>
        <v>542185.23</v>
      </c>
      <c r="H539" s="87">
        <f>L521</f>
        <v>253537.30999999997</v>
      </c>
      <c r="I539" s="87">
        <f>L526</f>
        <v>4323.12</v>
      </c>
      <c r="J539" s="87">
        <f>L531</f>
        <v>165960.6</v>
      </c>
      <c r="K539" s="87">
        <f>SUM(F539:J539)</f>
        <v>7072810.8200000003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2287959.85</v>
      </c>
      <c r="G540" s="87">
        <f>L517</f>
        <v>450373.02</v>
      </c>
      <c r="H540" s="87">
        <f>L522</f>
        <v>125983.06000000001</v>
      </c>
      <c r="I540" s="87">
        <f>L527</f>
        <v>2264.4899999999998</v>
      </c>
      <c r="J540" s="87">
        <f>L532</f>
        <v>212764.7</v>
      </c>
      <c r="K540" s="87">
        <f>SUM(F540:J540)</f>
        <v>3079345.1200000006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2788854.57</v>
      </c>
      <c r="G541" s="87">
        <f>L518</f>
        <v>502209.68</v>
      </c>
      <c r="H541" s="87">
        <f>L523</f>
        <v>205634.91999999998</v>
      </c>
      <c r="I541" s="87">
        <f>L528</f>
        <v>3705.53</v>
      </c>
      <c r="J541" s="87">
        <f>L533</f>
        <v>305249.65000000002</v>
      </c>
      <c r="K541" s="87">
        <f>SUM(F541:J541)</f>
        <v>3805654.3499999996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11183618.98</v>
      </c>
      <c r="G542" s="89">
        <f t="shared" si="41"/>
        <v>1494767.93</v>
      </c>
      <c r="H542" s="89">
        <f t="shared" si="41"/>
        <v>585155.29</v>
      </c>
      <c r="I542" s="89">
        <f t="shared" si="41"/>
        <v>10293.14</v>
      </c>
      <c r="J542" s="89">
        <f t="shared" si="41"/>
        <v>683974.95000000007</v>
      </c>
      <c r="K542" s="89">
        <f t="shared" si="41"/>
        <v>13957810.290000001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1149122.8600000001</v>
      </c>
      <c r="G547" s="18">
        <v>370162.14</v>
      </c>
      <c r="H547" s="18">
        <v>137944.99</v>
      </c>
      <c r="I547" s="18">
        <v>30203.97</v>
      </c>
      <c r="J547" s="18">
        <v>12600</v>
      </c>
      <c r="K547" s="18">
        <v>12807.02</v>
      </c>
      <c r="L547" s="88">
        <f>SUM(F547:K547)</f>
        <v>1712840.98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25338.78</v>
      </c>
      <c r="G548" s="18">
        <v>2268.62</v>
      </c>
      <c r="H548" s="18">
        <v>14319.96</v>
      </c>
      <c r="I548" s="18">
        <v>5181.3500000000004</v>
      </c>
      <c r="J548" s="18">
        <v>6600</v>
      </c>
      <c r="K548" s="18">
        <v>427.02</v>
      </c>
      <c r="L548" s="88">
        <f>SUM(F548:K548)</f>
        <v>54135.729999999996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41463.46</v>
      </c>
      <c r="G549" s="18">
        <v>3712.29</v>
      </c>
      <c r="H549" s="18">
        <v>23432.65</v>
      </c>
      <c r="I549" s="18">
        <v>8478.57</v>
      </c>
      <c r="J549" s="18">
        <v>10800</v>
      </c>
      <c r="K549" s="18">
        <v>698.76</v>
      </c>
      <c r="L549" s="88">
        <f>SUM(F549:K549)</f>
        <v>88585.73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1215925.1000000001</v>
      </c>
      <c r="G550" s="108">
        <f t="shared" si="42"/>
        <v>376143.05</v>
      </c>
      <c r="H550" s="108">
        <f t="shared" si="42"/>
        <v>175697.59999999998</v>
      </c>
      <c r="I550" s="108">
        <f t="shared" si="42"/>
        <v>43863.89</v>
      </c>
      <c r="J550" s="108">
        <f t="shared" si="42"/>
        <v>30000</v>
      </c>
      <c r="K550" s="108">
        <f t="shared" si="42"/>
        <v>13932.800000000001</v>
      </c>
      <c r="L550" s="89">
        <f t="shared" si="42"/>
        <v>1855562.44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5865.7</v>
      </c>
      <c r="G552" s="18">
        <v>728.31</v>
      </c>
      <c r="H552" s="18">
        <v>772.47</v>
      </c>
      <c r="I552" s="18">
        <v>3682.03</v>
      </c>
      <c r="J552" s="18"/>
      <c r="K552" s="18"/>
      <c r="L552" s="88">
        <f>SUM(F552:K552)</f>
        <v>11048.51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5865.7</v>
      </c>
      <c r="G555" s="89">
        <f t="shared" si="43"/>
        <v>728.31</v>
      </c>
      <c r="H555" s="89">
        <f t="shared" si="43"/>
        <v>772.47</v>
      </c>
      <c r="I555" s="89">
        <f t="shared" si="43"/>
        <v>3682.03</v>
      </c>
      <c r="J555" s="89">
        <f t="shared" si="43"/>
        <v>0</v>
      </c>
      <c r="K555" s="89">
        <f t="shared" si="43"/>
        <v>0</v>
      </c>
      <c r="L555" s="89">
        <f t="shared" si="43"/>
        <v>11048.51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1221790.8</v>
      </c>
      <c r="G561" s="89">
        <f t="shared" ref="G561:L561" si="45">G550+G555+G560</f>
        <v>376871.36</v>
      </c>
      <c r="H561" s="89">
        <f t="shared" si="45"/>
        <v>176470.06999999998</v>
      </c>
      <c r="I561" s="89">
        <f t="shared" si="45"/>
        <v>47545.919999999998</v>
      </c>
      <c r="J561" s="89">
        <f t="shared" si="45"/>
        <v>30000</v>
      </c>
      <c r="K561" s="89">
        <f t="shared" si="45"/>
        <v>13932.800000000001</v>
      </c>
      <c r="L561" s="89">
        <f t="shared" si="45"/>
        <v>1866610.95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87690.32</v>
      </c>
      <c r="G569" s="18">
        <v>7836.88</v>
      </c>
      <c r="H569" s="18">
        <v>153725.99</v>
      </c>
      <c r="I569" s="87">
        <f t="shared" si="46"/>
        <v>249253.19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114045.05</v>
      </c>
      <c r="G572" s="18">
        <v>323600.28999999998</v>
      </c>
      <c r="H572" s="18">
        <v>829907.03</v>
      </c>
      <c r="I572" s="87">
        <f t="shared" si="46"/>
        <v>1267552.3700000001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24858.75</v>
      </c>
      <c r="I573" s="87">
        <f t="shared" si="46"/>
        <v>24858.75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47383.040000000001</v>
      </c>
      <c r="I574" s="87">
        <f t="shared" si="46"/>
        <v>47383.040000000001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382291.65</v>
      </c>
      <c r="I581" s="18">
        <v>200248.01</v>
      </c>
      <c r="J581" s="18">
        <v>327678.56</v>
      </c>
      <c r="K581" s="104">
        <f t="shared" ref="K581:K587" si="47">SUM(H581:J581)</f>
        <v>910218.22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165960.6</v>
      </c>
      <c r="I582" s="18">
        <v>212764.7</v>
      </c>
      <c r="J582" s="18">
        <v>305249.65000000002</v>
      </c>
      <c r="K582" s="104">
        <f t="shared" si="47"/>
        <v>683974.95000000007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36900</v>
      </c>
      <c r="K583" s="104">
        <f t="shared" si="47"/>
        <v>36900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8411.25</v>
      </c>
      <c r="J584" s="18">
        <v>78264.039999999994</v>
      </c>
      <c r="K584" s="104">
        <f t="shared" si="47"/>
        <v>86675.29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1419.77</v>
      </c>
      <c r="J585" s="18">
        <v>4521.63</v>
      </c>
      <c r="K585" s="104">
        <f t="shared" si="47"/>
        <v>5941.4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548252.25</v>
      </c>
      <c r="I588" s="108">
        <f>SUM(I581:I587)</f>
        <v>422843.73000000004</v>
      </c>
      <c r="J588" s="108">
        <f>SUM(J581:J587)</f>
        <v>752613.88</v>
      </c>
      <c r="K588" s="108">
        <f>SUM(K581:K587)</f>
        <v>1723709.8599999999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204787.26</v>
      </c>
      <c r="I594" s="18">
        <v>95846.33</v>
      </c>
      <c r="J594" s="18">
        <v>314141.84999999998</v>
      </c>
      <c r="K594" s="104">
        <f>SUM(H594:J594)</f>
        <v>614775.43999999994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204787.26</v>
      </c>
      <c r="I595" s="108">
        <f>SUM(I592:I594)</f>
        <v>95846.33</v>
      </c>
      <c r="J595" s="108">
        <f>SUM(J592:J594)</f>
        <v>314141.84999999998</v>
      </c>
      <c r="K595" s="108">
        <f>SUM(K592:K594)</f>
        <v>614775.43999999994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12803.95</v>
      </c>
      <c r="G602" s="18">
        <v>2003.52</v>
      </c>
      <c r="H602" s="18"/>
      <c r="I602" s="18">
        <v>90</v>
      </c>
      <c r="J602" s="18"/>
      <c r="K602" s="18"/>
      <c r="L602" s="88">
        <f>SUM(F602:K602)</f>
        <v>14897.470000000001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28405.119999999999</v>
      </c>
      <c r="G603" s="18">
        <v>4206.8500000000004</v>
      </c>
      <c r="H603" s="18"/>
      <c r="I603" s="18">
        <v>299.60000000000002</v>
      </c>
      <c r="J603" s="18"/>
      <c r="K603" s="18"/>
      <c r="L603" s="88">
        <f>SUM(F603:K603)</f>
        <v>32911.57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41209.07</v>
      </c>
      <c r="G604" s="108">
        <f t="shared" si="48"/>
        <v>6210.3700000000008</v>
      </c>
      <c r="H604" s="108">
        <f t="shared" si="48"/>
        <v>0</v>
      </c>
      <c r="I604" s="108">
        <f t="shared" si="48"/>
        <v>389.6</v>
      </c>
      <c r="J604" s="108">
        <f t="shared" si="48"/>
        <v>0</v>
      </c>
      <c r="K604" s="108">
        <f t="shared" si="48"/>
        <v>0</v>
      </c>
      <c r="L604" s="89">
        <f t="shared" si="48"/>
        <v>47809.04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0</v>
      </c>
      <c r="H607" s="109">
        <f>SUM(F44)</f>
        <v>0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286075.43</v>
      </c>
      <c r="H608" s="109">
        <f>SUM(G44)</f>
        <v>286075.43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1306946.46</v>
      </c>
      <c r="H609" s="109">
        <f>SUM(H44)</f>
        <v>1306946.4600000002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3369.57</v>
      </c>
      <c r="H610" s="109">
        <f>SUM(I44)</f>
        <v>3369.5699999999997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285258.99</v>
      </c>
      <c r="H613" s="109">
        <f>G466</f>
        <v>285258.99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43991.54</v>
      </c>
      <c r="H614" s="109">
        <f>H466</f>
        <v>43991.539999999106</v>
      </c>
      <c r="I614" s="121" t="s">
        <v>110</v>
      </c>
      <c r="J614" s="109">
        <f t="shared" si="49"/>
        <v>8.9494278654456139E-10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3369.5699999999997</v>
      </c>
      <c r="H615" s="109">
        <f>I466</f>
        <v>3369.570000000007</v>
      </c>
      <c r="I615" s="121" t="s">
        <v>112</v>
      </c>
      <c r="J615" s="109">
        <f t="shared" si="49"/>
        <v>-7.2759576141834259E-12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54480276.709999993</v>
      </c>
      <c r="H617" s="104">
        <f>SUM(F458)</f>
        <v>54480276.709999993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1765851.8599999999</v>
      </c>
      <c r="H618" s="104">
        <f>SUM(G458)</f>
        <v>1765851.86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4795797.6499999994</v>
      </c>
      <c r="H619" s="104">
        <f>SUM(H458)</f>
        <v>4795797.6499999994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53410608.639999993</v>
      </c>
      <c r="H622" s="104">
        <f>SUM(F462)</f>
        <v>53410608.639999993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4796286.92</v>
      </c>
      <c r="H623" s="104">
        <f>SUM(H462)</f>
        <v>4796286.92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712653.16999999993</v>
      </c>
      <c r="H624" s="104">
        <f>I361</f>
        <v>712653.17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1680499.7399999998</v>
      </c>
      <c r="H625" s="104">
        <f>SUM(G462)</f>
        <v>1680499.74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366686.22</v>
      </c>
      <c r="H626" s="104">
        <f>SUM(I462)</f>
        <v>366686.22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1723709.8599999999</v>
      </c>
      <c r="H637" s="104">
        <f>L200+L218+L236</f>
        <v>1723709.8599999999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614775.43999999994</v>
      </c>
      <c r="H638" s="104">
        <f>(J249+J330)-(J247+J328)</f>
        <v>614775.43999999994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548252.25</v>
      </c>
      <c r="H639" s="104">
        <f>H588</f>
        <v>548252.25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422843.73</v>
      </c>
      <c r="H640" s="104">
        <f>I588</f>
        <v>422843.73000000004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752613.88</v>
      </c>
      <c r="H641" s="104">
        <f>J588</f>
        <v>752613.88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25650412.84999999</v>
      </c>
      <c r="G650" s="19">
        <f>(L221+L301+L351)</f>
        <v>11741702.720000003</v>
      </c>
      <c r="H650" s="19">
        <f>(L239+L320+L352)</f>
        <v>19036586.129999999</v>
      </c>
      <c r="I650" s="19">
        <f>SUM(F650:H650)</f>
        <v>56428701.699999988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382594.99974200752</v>
      </c>
      <c r="G651" s="19">
        <f>(L351/IF(SUM(L350:L352)=0,1,SUM(L350:L352))*(SUM(G89:G102)))</f>
        <v>170412.42120332888</v>
      </c>
      <c r="H651" s="19">
        <f>(L352/IF(SUM(L350:L352)=0,1,SUM(L350:L352))*(SUM(G89:G102)))</f>
        <v>301806.71905466373</v>
      </c>
      <c r="I651" s="19">
        <f>SUM(F651:H651)</f>
        <v>854814.14000000013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548252.25</v>
      </c>
      <c r="G652" s="19">
        <f>(L218+L298)-(J218+J298)</f>
        <v>422843.73</v>
      </c>
      <c r="H652" s="19">
        <f>(L236+L317)-(J236+J317)</f>
        <v>752613.88</v>
      </c>
      <c r="I652" s="19">
        <f>SUM(F652:H652)</f>
        <v>1723709.8599999999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406522.63</v>
      </c>
      <c r="G653" s="200">
        <f>SUM(G565:G577)+SUM(I592:I594)+L602</f>
        <v>442180.97</v>
      </c>
      <c r="H653" s="200">
        <f>SUM(H565:H577)+SUM(J592:J594)+L603</f>
        <v>1402928.2300000002</v>
      </c>
      <c r="I653" s="19">
        <f>SUM(F653:H653)</f>
        <v>2251631.83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24313042.970257983</v>
      </c>
      <c r="G654" s="19">
        <f>G650-SUM(G651:G653)</f>
        <v>10706265.598796673</v>
      </c>
      <c r="H654" s="19">
        <f>H650-SUM(H651:H653)</f>
        <v>16579237.300945334</v>
      </c>
      <c r="I654" s="19">
        <f>I650-SUM(I651:I653)</f>
        <v>51598545.86999999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1883.78</v>
      </c>
      <c r="G655" s="249">
        <v>991.8</v>
      </c>
      <c r="H655" s="249">
        <v>1582.86</v>
      </c>
      <c r="I655" s="19">
        <f>SUM(F655:H655)</f>
        <v>4458.4399999999996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12906.52</v>
      </c>
      <c r="G657" s="19">
        <f>ROUND(G654/G655,2)</f>
        <v>10794.78</v>
      </c>
      <c r="H657" s="19">
        <f>ROUND(H654/H655,2)</f>
        <v>10474.23</v>
      </c>
      <c r="I657" s="19">
        <f>ROUND(I654/I655,2)</f>
        <v>11573.23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-12.35</v>
      </c>
      <c r="I660" s="19">
        <f>SUM(F660:H660)</f>
        <v>-12.35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12906.52</v>
      </c>
      <c r="G662" s="19">
        <f>ROUND((G654+G659)/(G655+G660),2)</f>
        <v>10794.78</v>
      </c>
      <c r="H662" s="19">
        <f>ROUND((H654+H659)/(H655+H660),2)</f>
        <v>10556.59</v>
      </c>
      <c r="I662" s="19">
        <f>ROUND((I654+I659)/(I655+I660),2)</f>
        <v>11605.38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909C-422A-4AF9-9BD9-C8183950F2F6}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Rochester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14590037.010000002</v>
      </c>
      <c r="C9" s="230">
        <f>'DOE25'!G189+'DOE25'!G207+'DOE25'!G225+'DOE25'!G268+'DOE25'!G287+'DOE25'!G306</f>
        <v>4909159.34</v>
      </c>
    </row>
    <row r="10" spans="1:3" x14ac:dyDescent="0.2">
      <c r="A10" t="s">
        <v>813</v>
      </c>
      <c r="B10" s="241">
        <f>228028.66+6059434.22+3281476.9+3774154.29+132900.53+8773.9+93081.72-0.08</f>
        <v>13577850.140000001</v>
      </c>
      <c r="C10" s="241">
        <f>17079.49+449600.75+244849.63+271856.84+6822.12+6644.58+3627416.15+3.51</f>
        <v>4624273.0699999994</v>
      </c>
    </row>
    <row r="11" spans="1:3" x14ac:dyDescent="0.2">
      <c r="A11" t="s">
        <v>814</v>
      </c>
      <c r="B11" s="241">
        <f>6687.54+326070.63+35363.5+87406.34+1853</f>
        <v>457381.01</v>
      </c>
      <c r="C11" s="241">
        <f>923.18+85.86+13464.74+122192.36</f>
        <v>136666.14000000001</v>
      </c>
    </row>
    <row r="12" spans="1:3" x14ac:dyDescent="0.2">
      <c r="A12" t="s">
        <v>815</v>
      </c>
      <c r="B12" s="241">
        <f>651+15866.4+2378.98+3873.13+6790+284056.22+90620.6+150569.53</f>
        <v>554805.86</v>
      </c>
      <c r="C12" s="241">
        <v>148220.13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14590037.01</v>
      </c>
      <c r="C13" s="232">
        <f>SUM(C10:C12)</f>
        <v>4909159.3399999989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8738816.9700000007</v>
      </c>
      <c r="C18" s="230">
        <f>'DOE25'!G190+'DOE25'!G208+'DOE25'!G226+'DOE25'!G269+'DOE25'!G288+'DOE25'!G307</f>
        <v>2736013.92</v>
      </c>
    </row>
    <row r="19" spans="1:3" x14ac:dyDescent="0.2">
      <c r="A19" t="s">
        <v>813</v>
      </c>
      <c r="B19" s="241">
        <f>313118.89+781159.68+7137.07+121204.21+3143725.56+924337.07+799261.68+30703.44+0.02</f>
        <v>6120647.6200000001</v>
      </c>
      <c r="C19" s="241">
        <f>16550.3+58403.71+494+9095.9+230655.8+68909.19+59551.32+1605557.65+3.9</f>
        <v>2049221.7699999998</v>
      </c>
    </row>
    <row r="20" spans="1:3" x14ac:dyDescent="0.2">
      <c r="A20" t="s">
        <v>814</v>
      </c>
      <c r="B20" s="241">
        <f>192748.85+189422.73+41995.27+1020645.75+338282.79+356865.52</f>
        <v>2139960.91</v>
      </c>
      <c r="C20" s="241">
        <v>561349.28</v>
      </c>
    </row>
    <row r="21" spans="1:3" x14ac:dyDescent="0.2">
      <c r="A21" t="s">
        <v>815</v>
      </c>
      <c r="B21" s="241">
        <f>8372.5+61014.22+6344.18+219692.02+33838.24+78350.04+5949.45+35090.38+29557.41</f>
        <v>478208.43999999994</v>
      </c>
      <c r="C21" s="241">
        <v>125442.87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8738816.9700000007</v>
      </c>
      <c r="C22" s="232">
        <f>SUM(C19:C21)</f>
        <v>2736013.92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1391641.5999999999</v>
      </c>
      <c r="C27" s="235">
        <f>'DOE25'!G191+'DOE25'!G209+'DOE25'!G227+'DOE25'!G270+'DOE25'!G289+'DOE25'!G308</f>
        <v>525725.23</v>
      </c>
    </row>
    <row r="28" spans="1:3" x14ac:dyDescent="0.2">
      <c r="A28" t="s">
        <v>813</v>
      </c>
      <c r="B28" s="241">
        <f>13841.44+1297514.02</f>
        <v>1311355.46</v>
      </c>
      <c r="C28" s="241">
        <f>1058.88+790.7+96873.33+329763.82+4755.6+621.72+91861.19-868.66-0.01-5273.23</f>
        <v>519583.33999999997</v>
      </c>
    </row>
    <row r="29" spans="1:3" x14ac:dyDescent="0.2">
      <c r="A29" t="s">
        <v>814</v>
      </c>
      <c r="B29" s="241">
        <v>68931.14</v>
      </c>
      <c r="C29" s="241">
        <v>5273.23</v>
      </c>
    </row>
    <row r="30" spans="1:3" x14ac:dyDescent="0.2">
      <c r="A30" t="s">
        <v>815</v>
      </c>
      <c r="B30" s="241">
        <v>11355</v>
      </c>
      <c r="C30" s="241">
        <v>868.66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1391641.5999999999</v>
      </c>
      <c r="C31" s="232">
        <f>SUM(C28:C30)</f>
        <v>525725.23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313412.89</v>
      </c>
      <c r="C36" s="236">
        <f>'DOE25'!G192+'DOE25'!G210+'DOE25'!G228+'DOE25'!G271+'DOE25'!G290+'DOE25'!G309</f>
        <v>43897.69</v>
      </c>
    </row>
    <row r="37" spans="1:3" x14ac:dyDescent="0.2">
      <c r="A37" t="s">
        <v>813</v>
      </c>
      <c r="B37" s="241">
        <f>181908.2+12803.95+26302.78</f>
        <v>221014.93000000002</v>
      </c>
      <c r="C37" s="241">
        <f>14774.86-5416.25+979.5+959.02+65+2155.93+1713.34+145-160.83-5531.95+196.82+144.04+20918.15+1430.5+0.01</f>
        <v>32373.140000000003</v>
      </c>
    </row>
    <row r="38" spans="1:3" x14ac:dyDescent="0.2">
      <c r="A38" t="s">
        <v>814</v>
      </c>
      <c r="B38" s="241">
        <v>2102.34</v>
      </c>
      <c r="C38" s="241">
        <f>222.94+160.83+192.58</f>
        <v>576.35</v>
      </c>
    </row>
    <row r="39" spans="1:3" x14ac:dyDescent="0.2">
      <c r="A39" t="s">
        <v>815</v>
      </c>
      <c r="B39" s="241">
        <f>72313.06+17982.56</f>
        <v>90295.62</v>
      </c>
      <c r="C39" s="241">
        <f>5416.25+5531.95</f>
        <v>10948.2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313412.89</v>
      </c>
      <c r="C40" s="232">
        <f>SUM(C37:C39)</f>
        <v>43897.69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C29C-6427-46F6-B129-6FD819C9483F}">
  <sheetPr>
    <tabColor indexed="11"/>
  </sheetPr>
  <dimension ref="A1:I51"/>
  <sheetViews>
    <sheetView workbookViewId="0">
      <pane ySplit="4" topLeftCell="A5" activePane="bottomLeft" state="frozen"/>
      <selection pane="bottomLeft" activeCell="D39" sqref="D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Rochester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34407643.770000003</v>
      </c>
      <c r="D5" s="20">
        <f>SUM('DOE25'!L189:L192)+SUM('DOE25'!L207:L210)+SUM('DOE25'!L225:L228)-F5-G5</f>
        <v>34202302.469999999</v>
      </c>
      <c r="E5" s="244"/>
      <c r="F5" s="256">
        <f>SUM('DOE25'!J189:J192)+SUM('DOE25'!J207:J210)+SUM('DOE25'!J225:J228)</f>
        <v>126079.84</v>
      </c>
      <c r="G5" s="53">
        <f>SUM('DOE25'!K189:K192)+SUM('DOE25'!K207:K210)+SUM('DOE25'!K225:K228)</f>
        <v>79261.459999999992</v>
      </c>
      <c r="H5" s="260"/>
    </row>
    <row r="6" spans="1:9" x14ac:dyDescent="0.2">
      <c r="A6" s="32">
        <v>2100</v>
      </c>
      <c r="B6" t="s">
        <v>835</v>
      </c>
      <c r="C6" s="246">
        <f t="shared" si="0"/>
        <v>1951227.1900000004</v>
      </c>
      <c r="D6" s="20">
        <f>'DOE25'!L194+'DOE25'!L212+'DOE25'!L230-F6-G6</f>
        <v>1948840.7700000005</v>
      </c>
      <c r="E6" s="244"/>
      <c r="F6" s="256">
        <f>'DOE25'!J194+'DOE25'!J212+'DOE25'!J230</f>
        <v>2386.42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1931859.7799999998</v>
      </c>
      <c r="D7" s="20">
        <f>'DOE25'!L195+'DOE25'!L213+'DOE25'!L231-F7-G7</f>
        <v>1663161.73</v>
      </c>
      <c r="E7" s="244"/>
      <c r="F7" s="256">
        <f>'DOE25'!J195+'DOE25'!J213+'DOE25'!J231</f>
        <v>267700.13</v>
      </c>
      <c r="G7" s="53">
        <f>'DOE25'!K195+'DOE25'!K213+'DOE25'!K231</f>
        <v>997.92</v>
      </c>
      <c r="H7" s="260"/>
    </row>
    <row r="8" spans="1:9" x14ac:dyDescent="0.2">
      <c r="A8" s="32">
        <v>2300</v>
      </c>
      <c r="B8" t="s">
        <v>836</v>
      </c>
      <c r="C8" s="246">
        <f t="shared" si="0"/>
        <v>1580344.46</v>
      </c>
      <c r="D8" s="244"/>
      <c r="E8" s="20">
        <f>'DOE25'!L196+'DOE25'!L214+'DOE25'!L232-F8-G8-D9-D11</f>
        <v>1456832.3299999998</v>
      </c>
      <c r="F8" s="256">
        <f>'DOE25'!J196+'DOE25'!J214+'DOE25'!J232</f>
        <v>13624.86</v>
      </c>
      <c r="G8" s="53">
        <f>'DOE25'!K196+'DOE25'!K214+'DOE25'!K232</f>
        <v>109887.27</v>
      </c>
      <c r="H8" s="260"/>
    </row>
    <row r="9" spans="1:9" x14ac:dyDescent="0.2">
      <c r="A9" s="32">
        <v>2310</v>
      </c>
      <c r="B9" t="s">
        <v>852</v>
      </c>
      <c r="C9" s="246">
        <f t="shared" si="0"/>
        <v>116173.26</v>
      </c>
      <c r="D9" s="245">
        <v>116173.26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4992</v>
      </c>
      <c r="D10" s="244"/>
      <c r="E10" s="245">
        <v>4992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238056.28</v>
      </c>
      <c r="D11" s="245">
        <v>238056.28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2515331.98</v>
      </c>
      <c r="D12" s="20">
        <f>'DOE25'!L197+'DOE25'!L215+'DOE25'!L233-F12-G12</f>
        <v>2492171.31</v>
      </c>
      <c r="E12" s="244"/>
      <c r="F12" s="256">
        <f>'DOE25'!J197+'DOE25'!J215+'DOE25'!J233</f>
        <v>9490.130000000001</v>
      </c>
      <c r="G12" s="53">
        <f>'DOE25'!K197+'DOE25'!K215+'DOE25'!K233</f>
        <v>13670.54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429828.28</v>
      </c>
      <c r="D13" s="244"/>
      <c r="E13" s="20">
        <f>'DOE25'!L198+'DOE25'!L216+'DOE25'!L234-F13-G13</f>
        <v>427970.02</v>
      </c>
      <c r="F13" s="256">
        <f>'DOE25'!J198+'DOE25'!J216+'DOE25'!J234</f>
        <v>535</v>
      </c>
      <c r="G13" s="53">
        <f>'DOE25'!K198+'DOE25'!K216+'DOE25'!K234</f>
        <v>1323.26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5062439.88</v>
      </c>
      <c r="D14" s="20">
        <f>'DOE25'!L199+'DOE25'!L217+'DOE25'!L235-F14-G14</f>
        <v>5053662.26</v>
      </c>
      <c r="E14" s="244"/>
      <c r="F14" s="256">
        <f>'DOE25'!J199+'DOE25'!J217+'DOE25'!J235</f>
        <v>8627.6200000000008</v>
      </c>
      <c r="G14" s="53">
        <f>'DOE25'!K199+'DOE25'!K217+'DOE25'!K235</f>
        <v>150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1723709.8599999999</v>
      </c>
      <c r="D15" s="20">
        <f>'DOE25'!L200+'DOE25'!L218+'DOE25'!L236-F15-G15</f>
        <v>1723709.8599999999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4774.26</v>
      </c>
      <c r="D16" s="244"/>
      <c r="E16" s="20">
        <f>'DOE25'!L201+'DOE25'!L219+'DOE25'!L237-F16-G16</f>
        <v>4774.26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5791.58</v>
      </c>
      <c r="D17" s="20">
        <f>'DOE25'!L243-F17-G17</f>
        <v>5791.58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3443428.06</v>
      </c>
      <c r="D25" s="244"/>
      <c r="E25" s="244"/>
      <c r="F25" s="259"/>
      <c r="G25" s="257"/>
      <c r="H25" s="258">
        <f>'DOE25'!L252+'DOE25'!L253+'DOE25'!L333+'DOE25'!L334</f>
        <v>3443428.06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1039607.9699999997</v>
      </c>
      <c r="D29" s="20">
        <f>'DOE25'!L350+'DOE25'!L351+'DOE25'!L352-'DOE25'!I359-F29-G29</f>
        <v>1039607.9699999997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4796286.92</v>
      </c>
      <c r="D31" s="20">
        <f>'DOE25'!L282+'DOE25'!L301+'DOE25'!L320+'DOE25'!L325+'DOE25'!L326+'DOE25'!L327-F31-G31</f>
        <v>4501784.3999999994</v>
      </c>
      <c r="E31" s="244"/>
      <c r="F31" s="256">
        <f>'DOE25'!J282+'DOE25'!J301+'DOE25'!J320+'DOE25'!J325+'DOE25'!J326+'DOE25'!J327</f>
        <v>186331.44</v>
      </c>
      <c r="G31" s="53">
        <f>'DOE25'!K282+'DOE25'!K301+'DOE25'!K320+'DOE25'!K325+'DOE25'!K326+'DOE25'!K327</f>
        <v>108171.08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52985261.889999993</v>
      </c>
      <c r="E33" s="247">
        <f>SUM(E5:E31)</f>
        <v>1894568.6099999999</v>
      </c>
      <c r="F33" s="247">
        <f>SUM(F5:F31)</f>
        <v>614775.43999999994</v>
      </c>
      <c r="G33" s="247">
        <f>SUM(G5:G31)</f>
        <v>313461.53000000003</v>
      </c>
      <c r="H33" s="247">
        <f>SUM(H5:H31)</f>
        <v>3443428.06</v>
      </c>
    </row>
    <row r="35" spans="2:8" ht="12" thickBot="1" x14ac:dyDescent="0.25">
      <c r="B35" s="254" t="s">
        <v>881</v>
      </c>
      <c r="D35" s="255">
        <f>E33</f>
        <v>1894568.6099999999</v>
      </c>
      <c r="E35" s="250"/>
    </row>
    <row r="36" spans="2:8" ht="12" thickTop="1" x14ac:dyDescent="0.2">
      <c r="B36" t="s">
        <v>849</v>
      </c>
      <c r="D36" s="20">
        <f>D33</f>
        <v>52985261.889999993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3C06-53EA-4994-B1B8-7CF77BF1175A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F155" sqref="F155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Rochester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0</v>
      </c>
      <c r="D9" s="95">
        <f>'DOE25'!G9</f>
        <v>0</v>
      </c>
      <c r="E9" s="95">
        <f>'DOE25'!H9</f>
        <v>0</v>
      </c>
      <c r="F9" s="95">
        <f>'DOE25'!I9</f>
        <v>3369.57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203961.03</v>
      </c>
      <c r="E12" s="95">
        <f>'DOE25'!H12</f>
        <v>1306946.46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72453.48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9660.92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0</v>
      </c>
      <c r="D19" s="41">
        <f>SUM(D9:D18)</f>
        <v>286075.43</v>
      </c>
      <c r="E19" s="41">
        <f>SUM(E9:E18)</f>
        <v>1306946.46</v>
      </c>
      <c r="F19" s="41">
        <f>SUM(F9:F18)</f>
        <v>3369.57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1262954.9200000002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816.44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816.44</v>
      </c>
      <c r="E32" s="41">
        <f>SUM(E22:E31)</f>
        <v>1262954.9200000002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9660.92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2550.27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275598.07</v>
      </c>
      <c r="E40" s="95">
        <f>'DOE25'!H41</f>
        <v>43991.54</v>
      </c>
      <c r="F40" s="95">
        <f>'DOE25'!I41</f>
        <v>819.3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285258.99</v>
      </c>
      <c r="E42" s="41">
        <f>SUM(E34:E41)</f>
        <v>43991.54</v>
      </c>
      <c r="F42" s="41">
        <f>SUM(F34:F41)</f>
        <v>3369.5699999999997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0</v>
      </c>
      <c r="D43" s="41">
        <f>D42+D32</f>
        <v>286075.43</v>
      </c>
      <c r="E43" s="41">
        <f>E42+E32</f>
        <v>1306946.4600000002</v>
      </c>
      <c r="F43" s="41">
        <f>F42+F32</f>
        <v>3369.5699999999997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21839961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2267195.2500000005</v>
      </c>
      <c r="D49" s="24" t="s">
        <v>312</v>
      </c>
      <c r="E49" s="95">
        <f>'DOE25'!H71</f>
        <v>115848.46999999999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826803.18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155942.38</v>
      </c>
      <c r="D53" s="95">
        <f>SUM('DOE25'!G90:G102)</f>
        <v>28010.959999999999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2423137.6300000004</v>
      </c>
      <c r="D54" s="130">
        <f>SUM(D49:D53)</f>
        <v>854814.14</v>
      </c>
      <c r="E54" s="130">
        <f>SUM(E49:E53)</f>
        <v>115848.46999999999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24263098.629999999</v>
      </c>
      <c r="D55" s="22">
        <f>D48+D54</f>
        <v>854814.14</v>
      </c>
      <c r="E55" s="22">
        <f>E48+E54</f>
        <v>115848.46999999999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16230839.940000001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5118107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6227269.0599999996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27576216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1285885.8400000001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453329.04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104487.98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18989.32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1843702.86</v>
      </c>
      <c r="D70" s="130">
        <f>SUM(D64:D69)</f>
        <v>18989.32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29419918.859999999</v>
      </c>
      <c r="D73" s="130">
        <f>SUM(D71:D72)+D70+D62</f>
        <v>18989.32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193054.11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502445.76</v>
      </c>
      <c r="D80" s="95">
        <f>SUM('DOE25'!G145:G153)</f>
        <v>891556.4</v>
      </c>
      <c r="E80" s="95">
        <f>SUM('DOE25'!H145:H153)</f>
        <v>4679949.18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101759.35</v>
      </c>
      <c r="D81" s="95">
        <f>'DOE25'!G155+'DOE25'!G160</f>
        <v>492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797259.22</v>
      </c>
      <c r="D83" s="131">
        <f>SUM(D77:D82)</f>
        <v>892048.4</v>
      </c>
      <c r="E83" s="131">
        <f>SUM(E77:E82)</f>
        <v>4679949.18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54480276.709999993</v>
      </c>
      <c r="D96" s="86">
        <f>D55+D73+D83+D95</f>
        <v>1765851.8599999999</v>
      </c>
      <c r="E96" s="86">
        <f>E55+E73+E83+E95</f>
        <v>4795797.6499999994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20078105.68</v>
      </c>
      <c r="D101" s="24" t="s">
        <v>312</v>
      </c>
      <c r="E101" s="95">
        <f>('DOE25'!L268)+('DOE25'!L287)+('DOE25'!L306)</f>
        <v>421910.25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11752119.08</v>
      </c>
      <c r="D102" s="24" t="s">
        <v>312</v>
      </c>
      <c r="E102" s="95">
        <f>('DOE25'!L269)+('DOE25'!L288)+('DOE25'!L307)</f>
        <v>2517394.34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2043861.9499999997</v>
      </c>
      <c r="D103" s="24" t="s">
        <v>312</v>
      </c>
      <c r="E103" s="95">
        <f>('DOE25'!L270)+('DOE25'!L289)+('DOE25'!L308)</f>
        <v>183978.13999999998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533557.06000000006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5791.58</v>
      </c>
      <c r="D106" s="24" t="s">
        <v>312</v>
      </c>
      <c r="E106" s="95">
        <f>+ SUM('DOE25'!L325:L327)</f>
        <v>9473.9600000000009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34413435.350000001</v>
      </c>
      <c r="D107" s="86">
        <f>SUM(D101:D106)</f>
        <v>0</v>
      </c>
      <c r="E107" s="86">
        <f>SUM(E101:E106)</f>
        <v>3132756.69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1951227.1900000004</v>
      </c>
      <c r="D110" s="24" t="s">
        <v>312</v>
      </c>
      <c r="E110" s="95">
        <f>+('DOE25'!L273)+('DOE25'!L292)+('DOE25'!L311)</f>
        <v>1193340.8800000001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1931859.7799999998</v>
      </c>
      <c r="D111" s="24" t="s">
        <v>312</v>
      </c>
      <c r="E111" s="95">
        <f>+('DOE25'!L274)+('DOE25'!L293)+('DOE25'!L312)</f>
        <v>128496.23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1934574</v>
      </c>
      <c r="D112" s="24" t="s">
        <v>312</v>
      </c>
      <c r="E112" s="95">
        <f>+('DOE25'!L275)+('DOE25'!L294)+('DOE25'!L313)</f>
        <v>235204.31999999998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2515331.98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429828.28</v>
      </c>
      <c r="D114" s="24" t="s">
        <v>312</v>
      </c>
      <c r="E114" s="95">
        <f>+('DOE25'!L277)+('DOE25'!L296)+('DOE25'!L315)</f>
        <v>103253.22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5062439.88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1723709.8599999999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4774.26</v>
      </c>
      <c r="D117" s="24" t="s">
        <v>312</v>
      </c>
      <c r="E117" s="95">
        <f>+('DOE25'!L280)+('DOE25'!L299)+('DOE25'!L318)</f>
        <v>3235.58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1680499.7399999998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15553745.229999999</v>
      </c>
      <c r="D120" s="86">
        <f>SUM(D110:D119)</f>
        <v>1680499.7399999998</v>
      </c>
      <c r="E120" s="86">
        <f>SUM(E110:E119)</f>
        <v>1663530.2300000002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366686.22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2727573.93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715854.13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3443428.06</v>
      </c>
      <c r="D136" s="141">
        <f>SUM(D122:D135)</f>
        <v>0</v>
      </c>
      <c r="E136" s="141">
        <f>SUM(E122:E135)</f>
        <v>0</v>
      </c>
      <c r="F136" s="141">
        <f>SUM(F122:F135)</f>
        <v>366686.22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53410608.640000001</v>
      </c>
      <c r="D137" s="86">
        <f>(D107+D120+D136)</f>
        <v>1680499.7399999998</v>
      </c>
      <c r="E137" s="86">
        <f>(E107+E120+E136)</f>
        <v>4796286.92</v>
      </c>
      <c r="F137" s="86">
        <f>(F107+F120+F136)</f>
        <v>366686.22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 t="str">
        <f>'DOE25'!F480</f>
        <v>VARIES</v>
      </c>
      <c r="C143" s="153">
        <f>'DOE25'!G480</f>
        <v>20</v>
      </c>
      <c r="D143" s="153">
        <f>'DOE25'!H480</f>
        <v>20</v>
      </c>
      <c r="E143" s="153">
        <f>'DOE25'!I480</f>
        <v>20</v>
      </c>
      <c r="F143" s="153" t="str">
        <f>'DOE25'!J480</f>
        <v>VARIES</v>
      </c>
      <c r="G143" s="24" t="s">
        <v>312</v>
      </c>
    </row>
    <row r="144" spans="1:9" x14ac:dyDescent="0.2">
      <c r="A144" s="136" t="s">
        <v>28</v>
      </c>
      <c r="B144" s="152" t="str">
        <f>'DOE25'!F481</f>
        <v>VARIES</v>
      </c>
      <c r="C144" s="152" t="str">
        <f>'DOE25'!G481</f>
        <v>07/01/01</v>
      </c>
      <c r="D144" s="152" t="str">
        <f>'DOE25'!H481</f>
        <v>07/01/03</v>
      </c>
      <c r="E144" s="152" t="str">
        <f>'DOE25'!I481</f>
        <v>07/01/05</v>
      </c>
      <c r="F144" s="152" t="str">
        <f>'DOE25'!J481</f>
        <v>VARIES</v>
      </c>
      <c r="G144" s="24" t="s">
        <v>312</v>
      </c>
    </row>
    <row r="145" spans="1:7" x14ac:dyDescent="0.2">
      <c r="A145" s="136" t="s">
        <v>29</v>
      </c>
      <c r="B145" s="152" t="str">
        <f>'DOE25'!F482</f>
        <v>PRIOR TO 2020</v>
      </c>
      <c r="C145" s="152" t="str">
        <f>'DOE25'!G482</f>
        <v>07/01/21</v>
      </c>
      <c r="D145" s="152" t="str">
        <f>'DOE25'!H482</f>
        <v>07/01/23</v>
      </c>
      <c r="E145" s="152" t="str">
        <f>'DOE25'!I482</f>
        <v>07/01/25</v>
      </c>
      <c r="F145" s="152" t="str">
        <f>'DOE25'!J482</f>
        <v>BEYOND 2027</v>
      </c>
      <c r="G145" s="24" t="s">
        <v>312</v>
      </c>
    </row>
    <row r="146" spans="1:7" x14ac:dyDescent="0.2">
      <c r="A146" s="136" t="s">
        <v>30</v>
      </c>
      <c r="B146" s="137" t="str">
        <f>'DOE25'!F483</f>
        <v>VARIES</v>
      </c>
      <c r="C146" s="137">
        <f>'DOE25'!G483</f>
        <v>4704717</v>
      </c>
      <c r="D146" s="137">
        <f>'DOE25'!H483</f>
        <v>3237000</v>
      </c>
      <c r="E146" s="137">
        <f>'DOE25'!I483</f>
        <v>1378525</v>
      </c>
      <c r="F146" s="137">
        <f>'DOE25'!J483</f>
        <v>1992991</v>
      </c>
      <c r="G146" s="24" t="s">
        <v>312</v>
      </c>
    </row>
    <row r="147" spans="1:7" x14ac:dyDescent="0.2">
      <c r="A147" s="136" t="s">
        <v>31</v>
      </c>
      <c r="B147" s="137" t="str">
        <f>'DOE25'!F484</f>
        <v>VARIES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9982323</v>
      </c>
      <c r="C148" s="137">
        <f>'DOE25'!G485</f>
        <v>2401611</v>
      </c>
      <c r="D148" s="137">
        <f>'DOE25'!H485</f>
        <v>2247000</v>
      </c>
      <c r="E148" s="137">
        <f>'DOE25'!I485</f>
        <v>1100000</v>
      </c>
      <c r="F148" s="137">
        <f>'DOE25'!J485</f>
        <v>1850042</v>
      </c>
      <c r="G148" s="138">
        <f>SUM(B148:F148)</f>
        <v>17580976</v>
      </c>
    </row>
    <row r="149" spans="1:7" x14ac:dyDescent="0.2">
      <c r="A149" s="22" t="s">
        <v>33</v>
      </c>
      <c r="B149" s="137">
        <f>'DOE25'!F486</f>
        <v>432946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686402</v>
      </c>
      <c r="G149" s="138">
        <f t="shared" ref="G149:G156" si="0">SUM(B149:F149)</f>
        <v>1119348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8262342</v>
      </c>
      <c r="C151" s="137">
        <f>'DOE25'!G488</f>
        <v>2162913</v>
      </c>
      <c r="D151" s="137">
        <f>'DOE25'!H488</f>
        <v>2082000</v>
      </c>
      <c r="E151" s="137">
        <f>'DOE25'!I488</f>
        <v>1030000</v>
      </c>
      <c r="F151" s="137">
        <f>'DOE25'!J488</f>
        <v>2435495</v>
      </c>
      <c r="G151" s="138">
        <f t="shared" si="0"/>
        <v>15972750</v>
      </c>
    </row>
    <row r="152" spans="1:7" x14ac:dyDescent="0.2">
      <c r="A152" s="22" t="s">
        <v>36</v>
      </c>
      <c r="B152" s="137">
        <f>'DOE25'!F489</f>
        <v>1195136</v>
      </c>
      <c r="C152" s="137">
        <f>'DOE25'!G489</f>
        <v>224558</v>
      </c>
      <c r="D152" s="137">
        <f>'DOE25'!H489</f>
        <v>611165</v>
      </c>
      <c r="E152" s="137">
        <f>'DOE25'!I489</f>
        <v>350863</v>
      </c>
      <c r="F152" s="137">
        <f>'DOE25'!J489</f>
        <v>949571</v>
      </c>
      <c r="G152" s="138">
        <f t="shared" si="0"/>
        <v>3331293</v>
      </c>
    </row>
    <row r="153" spans="1:7" x14ac:dyDescent="0.2">
      <c r="A153" s="22" t="s">
        <v>37</v>
      </c>
      <c r="B153" s="137">
        <f>'DOE25'!F490</f>
        <v>9457478</v>
      </c>
      <c r="C153" s="137">
        <f>'DOE25'!G490</f>
        <v>2387471</v>
      </c>
      <c r="D153" s="137">
        <f>'DOE25'!H490</f>
        <v>2693165</v>
      </c>
      <c r="E153" s="137">
        <f>'DOE25'!I490</f>
        <v>1380863</v>
      </c>
      <c r="F153" s="137">
        <f>'DOE25'!J490</f>
        <v>3385066</v>
      </c>
      <c r="G153" s="138">
        <f t="shared" si="0"/>
        <v>19304043</v>
      </c>
    </row>
    <row r="154" spans="1:7" x14ac:dyDescent="0.2">
      <c r="A154" s="22" t="s">
        <v>38</v>
      </c>
      <c r="B154" s="137">
        <f>'DOE25'!F491</f>
        <v>1995124</v>
      </c>
      <c r="C154" s="137">
        <f>'DOE25'!G491</f>
        <v>237535</v>
      </c>
      <c r="D154" s="137">
        <f>'DOE25'!H491</f>
        <v>165000</v>
      </c>
      <c r="E154" s="137">
        <f>'DOE25'!I491</f>
        <v>70000</v>
      </c>
      <c r="F154" s="137">
        <f>'DOE25'!J491</f>
        <v>135351</v>
      </c>
      <c r="G154" s="138">
        <f t="shared" si="0"/>
        <v>2603010</v>
      </c>
    </row>
    <row r="155" spans="1:7" x14ac:dyDescent="0.2">
      <c r="A155" s="22" t="s">
        <v>39</v>
      </c>
      <c r="B155" s="137">
        <f>'DOE25'!F492</f>
        <v>353289</v>
      </c>
      <c r="C155" s="137">
        <f>'DOE25'!G492</f>
        <v>41580</v>
      </c>
      <c r="D155" s="137">
        <f>'DOE25'!H492</f>
        <v>89963</v>
      </c>
      <c r="E155" s="137">
        <f>'DOE25'!I492</f>
        <v>43850</v>
      </c>
      <c r="F155" s="137">
        <f>'DOE25'!J492</f>
        <v>93377</v>
      </c>
      <c r="G155" s="138">
        <f t="shared" si="0"/>
        <v>622059</v>
      </c>
    </row>
    <row r="156" spans="1:7" x14ac:dyDescent="0.2">
      <c r="A156" s="22" t="s">
        <v>269</v>
      </c>
      <c r="B156" s="137">
        <f>'DOE25'!F493</f>
        <v>2348413</v>
      </c>
      <c r="C156" s="137">
        <f>'DOE25'!G493</f>
        <v>279115</v>
      </c>
      <c r="D156" s="137">
        <f>'DOE25'!H493</f>
        <v>254963</v>
      </c>
      <c r="E156" s="137">
        <f>'DOE25'!I493</f>
        <v>113850</v>
      </c>
      <c r="F156" s="137">
        <f>'DOE25'!J493</f>
        <v>228728</v>
      </c>
      <c r="G156" s="138">
        <f t="shared" si="0"/>
        <v>3225069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9632-9F3D-4970-8597-19994CB04437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Rochester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12907</v>
      </c>
    </row>
    <row r="5" spans="1:4" x14ac:dyDescent="0.2">
      <c r="B5" t="s">
        <v>735</v>
      </c>
      <c r="C5" s="179">
        <f>IF('DOE25'!G655+'DOE25'!G660=0,0,ROUND('DOE25'!G662,0))</f>
        <v>10795</v>
      </c>
    </row>
    <row r="6" spans="1:4" x14ac:dyDescent="0.2">
      <c r="B6" t="s">
        <v>62</v>
      </c>
      <c r="C6" s="179">
        <f>IF('DOE25'!H655+'DOE25'!H660=0,0,ROUND('DOE25'!H662,0))</f>
        <v>10557</v>
      </c>
    </row>
    <row r="7" spans="1:4" x14ac:dyDescent="0.2">
      <c r="B7" t="s">
        <v>736</v>
      </c>
      <c r="C7" s="179">
        <f>IF('DOE25'!I655+'DOE25'!I660=0,0,ROUND('DOE25'!I662,0))</f>
        <v>11605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20500016</v>
      </c>
      <c r="D10" s="182">
        <f>ROUND((C10/$C$28)*100,1)</f>
        <v>36.4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14269513</v>
      </c>
      <c r="D11" s="182">
        <f>ROUND((C11/$C$28)*100,1)</f>
        <v>25.3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2227840</v>
      </c>
      <c r="D12" s="182">
        <f>ROUND((C12/$C$28)*100,1)</f>
        <v>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533557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3144568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2060356</v>
      </c>
      <c r="D16" s="182">
        <f t="shared" si="0"/>
        <v>3.7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2177788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2515332</v>
      </c>
      <c r="D18" s="182">
        <f t="shared" si="0"/>
        <v>4.5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533082</v>
      </c>
      <c r="D19" s="182">
        <f t="shared" si="0"/>
        <v>0.9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5062440</v>
      </c>
      <c r="D20" s="182">
        <f t="shared" si="0"/>
        <v>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1723710</v>
      </c>
      <c r="D21" s="182">
        <f t="shared" si="0"/>
        <v>3.1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15266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715854</v>
      </c>
      <c r="D25" s="182">
        <f t="shared" si="0"/>
        <v>1.3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825685.86</v>
      </c>
      <c r="D27" s="182">
        <f t="shared" si="0"/>
        <v>1.5</v>
      </c>
    </row>
    <row r="28" spans="1:4" x14ac:dyDescent="0.2">
      <c r="B28" s="187" t="s">
        <v>754</v>
      </c>
      <c r="C28" s="180">
        <f>SUM(C10:C27)</f>
        <v>56305007.859999999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366686</v>
      </c>
    </row>
    <row r="30" spans="1:4" x14ac:dyDescent="0.2">
      <c r="B30" s="187" t="s">
        <v>760</v>
      </c>
      <c r="C30" s="180">
        <f>SUM(C28:C29)</f>
        <v>56671693.859999999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2727574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21839961</v>
      </c>
      <c r="D35" s="182">
        <f t="shared" ref="D35:D40" si="1">ROUND((C35/$C$41)*100,1)</f>
        <v>36.299999999999997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2538986.0999999978</v>
      </c>
      <c r="D36" s="182">
        <f t="shared" si="1"/>
        <v>4.2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21348947</v>
      </c>
      <c r="D37" s="182">
        <f t="shared" si="1"/>
        <v>35.5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8089961</v>
      </c>
      <c r="D38" s="182">
        <f t="shared" si="1"/>
        <v>13.4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6369257</v>
      </c>
      <c r="D39" s="182">
        <f t="shared" si="1"/>
        <v>10.6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60187112.099999994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C1BB-59F2-459E-8889-6E86DC3D7911}">
  <sheetPr>
    <tabColor indexed="17"/>
  </sheetPr>
  <dimension ref="A1:IV90"/>
  <sheetViews>
    <sheetView workbookViewId="0">
      <pane ySplit="3" topLeftCell="A4" activePane="bottomLeft" state="frozen"/>
      <selection pane="bottomLeft" activeCell="B26" sqref="B2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Rochester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19</v>
      </c>
      <c r="B4" s="220" t="s">
        <v>904</v>
      </c>
      <c r="C4" s="280" t="s">
        <v>910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905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19</v>
      </c>
      <c r="B7" s="220" t="s">
        <v>906</v>
      </c>
      <c r="C7" s="280" t="s">
        <v>909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>
        <v>19</v>
      </c>
      <c r="B8" s="220" t="s">
        <v>907</v>
      </c>
      <c r="C8" s="280" t="s">
        <v>908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2010-08-23T19:33:46Z</cp:lastPrinted>
  <dcterms:created xsi:type="dcterms:W3CDTF">1997-12-04T19:04:30Z</dcterms:created>
  <dcterms:modified xsi:type="dcterms:W3CDTF">2025-01-09T20:25:27Z</dcterms:modified>
</cp:coreProperties>
</file>