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C5A2A41-D0ED-4D7D-B7BD-EB063220BC8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67C0A412-5E8E-41C5-821C-3ABD4243CA6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E8" i="13"/>
  <c r="C8" i="13" s="1"/>
  <c r="D39" i="13"/>
  <c r="F13" i="13"/>
  <c r="G13" i="13"/>
  <c r="L198" i="1"/>
  <c r="E13" i="13" s="1"/>
  <c r="L216" i="1"/>
  <c r="L234" i="1"/>
  <c r="F16" i="13"/>
  <c r="G16" i="13"/>
  <c r="L201" i="1"/>
  <c r="L219" i="1"/>
  <c r="L237" i="1"/>
  <c r="C117" i="2" s="1"/>
  <c r="E16" i="13"/>
  <c r="C16" i="13" s="1"/>
  <c r="F5" i="13"/>
  <c r="D5" i="13" s="1"/>
  <c r="G5" i="13"/>
  <c r="L189" i="1"/>
  <c r="L190" i="1"/>
  <c r="L191" i="1"/>
  <c r="L192" i="1"/>
  <c r="L207" i="1"/>
  <c r="L208" i="1"/>
  <c r="L209" i="1"/>
  <c r="C103" i="2" s="1"/>
  <c r="L210" i="1"/>
  <c r="C104" i="2" s="1"/>
  <c r="L225" i="1"/>
  <c r="L239" i="1" s="1"/>
  <c r="L226" i="1"/>
  <c r="L227" i="1"/>
  <c r="L228" i="1"/>
  <c r="F6" i="13"/>
  <c r="G6" i="13"/>
  <c r="L194" i="1"/>
  <c r="L212" i="1"/>
  <c r="L230" i="1"/>
  <c r="D6" i="13"/>
  <c r="C6" i="13" s="1"/>
  <c r="F7" i="13"/>
  <c r="G7" i="13"/>
  <c r="L195" i="1"/>
  <c r="L213" i="1"/>
  <c r="D7" i="13" s="1"/>
  <c r="C7" i="13" s="1"/>
  <c r="L231" i="1"/>
  <c r="F12" i="13"/>
  <c r="G12" i="13"/>
  <c r="L197" i="1"/>
  <c r="L215" i="1"/>
  <c r="L233" i="1"/>
  <c r="D12" i="13"/>
  <c r="C12" i="13" s="1"/>
  <c r="F14" i="13"/>
  <c r="G14" i="13"/>
  <c r="L199" i="1"/>
  <c r="L217" i="1"/>
  <c r="D14" i="13" s="1"/>
  <c r="C14" i="13" s="1"/>
  <c r="L235" i="1"/>
  <c r="F15" i="13"/>
  <c r="G15" i="13"/>
  <c r="L200" i="1"/>
  <c r="L218" i="1"/>
  <c r="L236" i="1"/>
  <c r="D15" i="13"/>
  <c r="C15" i="13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G31" i="13" s="1"/>
  <c r="K301" i="1"/>
  <c r="K320" i="1"/>
  <c r="L268" i="1"/>
  <c r="L269" i="1"/>
  <c r="L270" i="1"/>
  <c r="L271" i="1"/>
  <c r="L273" i="1"/>
  <c r="L274" i="1"/>
  <c r="L275" i="1"/>
  <c r="L276" i="1"/>
  <c r="L277" i="1"/>
  <c r="E114" i="2" s="1"/>
  <c r="L278" i="1"/>
  <c r="E115" i="2" s="1"/>
  <c r="L279" i="1"/>
  <c r="C21" i="10" s="1"/>
  <c r="L280" i="1"/>
  <c r="L287" i="1"/>
  <c r="L288" i="1"/>
  <c r="L289" i="1"/>
  <c r="L290" i="1"/>
  <c r="L292" i="1"/>
  <c r="L293" i="1"/>
  <c r="L294" i="1"/>
  <c r="L295" i="1"/>
  <c r="L301" i="1" s="1"/>
  <c r="L296" i="1"/>
  <c r="L297" i="1"/>
  <c r="L298" i="1"/>
  <c r="L299" i="1"/>
  <c r="E117" i="2" s="1"/>
  <c r="L306" i="1"/>
  <c r="L307" i="1"/>
  <c r="L308" i="1"/>
  <c r="L309" i="1"/>
  <c r="L311" i="1"/>
  <c r="L312" i="1"/>
  <c r="L313" i="1"/>
  <c r="L320" i="1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43" i="1" s="1"/>
  <c r="L334" i="1"/>
  <c r="L247" i="1"/>
  <c r="L328" i="1"/>
  <c r="F22" i="13"/>
  <c r="C22" i="13"/>
  <c r="C19" i="13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A31" i="12" s="1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5" i="2" s="1"/>
  <c r="G96" i="2" s="1"/>
  <c r="G53" i="2"/>
  <c r="F2" i="11"/>
  <c r="L603" i="1"/>
  <c r="H653" i="1" s="1"/>
  <c r="L602" i="1"/>
  <c r="G653" i="1" s="1"/>
  <c r="L601" i="1"/>
  <c r="F653" i="1"/>
  <c r="C40" i="10"/>
  <c r="F52" i="1"/>
  <c r="F104" i="1" s="1"/>
  <c r="G52" i="1"/>
  <c r="G104" i="1" s="1"/>
  <c r="H52" i="1"/>
  <c r="I52" i="1"/>
  <c r="F48" i="2" s="1"/>
  <c r="F55" i="2" s="1"/>
  <c r="C35" i="10"/>
  <c r="F71" i="1"/>
  <c r="C49" i="2" s="1"/>
  <c r="C54" i="2" s="1"/>
  <c r="C55" i="2" s="1"/>
  <c r="C96" i="2" s="1"/>
  <c r="F86" i="1"/>
  <c r="F103" i="1"/>
  <c r="G103" i="1"/>
  <c r="H71" i="1"/>
  <c r="H104" i="1" s="1"/>
  <c r="H86" i="1"/>
  <c r="H103" i="1"/>
  <c r="I103" i="1"/>
  <c r="I104" i="1"/>
  <c r="J103" i="1"/>
  <c r="J104" i="1" s="1"/>
  <c r="C37" i="10"/>
  <c r="F113" i="1"/>
  <c r="F128" i="1"/>
  <c r="F132" i="1"/>
  <c r="G113" i="1"/>
  <c r="G132" i="1" s="1"/>
  <c r="G128" i="1"/>
  <c r="H113" i="1"/>
  <c r="H128" i="1"/>
  <c r="H132" i="1"/>
  <c r="I113" i="1"/>
  <c r="I128" i="1"/>
  <c r="I132" i="1" s="1"/>
  <c r="J113" i="1"/>
  <c r="J128" i="1"/>
  <c r="J132" i="1"/>
  <c r="F139" i="1"/>
  <c r="F154" i="1"/>
  <c r="F161" i="1"/>
  <c r="G139" i="1"/>
  <c r="D77" i="2" s="1"/>
  <c r="D83" i="2" s="1"/>
  <c r="G154" i="1"/>
  <c r="H139" i="1"/>
  <c r="H161" i="1" s="1"/>
  <c r="H154" i="1"/>
  <c r="I139" i="1"/>
  <c r="I154" i="1"/>
  <c r="I161" i="1"/>
  <c r="C11" i="10"/>
  <c r="C15" i="10"/>
  <c r="C17" i="10"/>
  <c r="C18" i="10"/>
  <c r="L242" i="1"/>
  <c r="L324" i="1"/>
  <c r="C23" i="10"/>
  <c r="L246" i="1"/>
  <c r="C24" i="10" s="1"/>
  <c r="C25" i="10"/>
  <c r="L260" i="1"/>
  <c r="C134" i="2" s="1"/>
  <c r="L261" i="1"/>
  <c r="C26" i="10" s="1"/>
  <c r="L341" i="1"/>
  <c r="E134" i="2" s="1"/>
  <c r="L342" i="1"/>
  <c r="I655" i="1"/>
  <c r="I660" i="1"/>
  <c r="L203" i="1"/>
  <c r="G652" i="1"/>
  <c r="H652" i="1"/>
  <c r="I659" i="1"/>
  <c r="C6" i="10"/>
  <c r="C5" i="10"/>
  <c r="C42" i="10"/>
  <c r="L366" i="1"/>
  <c r="L367" i="1"/>
  <c r="L368" i="1"/>
  <c r="C29" i="10" s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/>
  <c r="K540" i="1" s="1"/>
  <c r="L513" i="1"/>
  <c r="F541" i="1"/>
  <c r="L516" i="1"/>
  <c r="G539" i="1"/>
  <c r="L517" i="1"/>
  <c r="G540" i="1"/>
  <c r="L518" i="1"/>
  <c r="G541" i="1" s="1"/>
  <c r="L521" i="1"/>
  <c r="H539" i="1"/>
  <c r="L522" i="1"/>
  <c r="H540" i="1"/>
  <c r="L523" i="1"/>
  <c r="L524" i="1" s="1"/>
  <c r="H541" i="1"/>
  <c r="H542" i="1"/>
  <c r="L526" i="1"/>
  <c r="I539" i="1"/>
  <c r="I542" i="1" s="1"/>
  <c r="L527" i="1"/>
  <c r="I540" i="1" s="1"/>
  <c r="L528" i="1"/>
  <c r="I541" i="1"/>
  <c r="L531" i="1"/>
  <c r="J539" i="1"/>
  <c r="L532" i="1"/>
  <c r="L534" i="1" s="1"/>
  <c r="J540" i="1"/>
  <c r="L533" i="1"/>
  <c r="J541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F9" i="2"/>
  <c r="F19" i="2" s="1"/>
  <c r="I431" i="1"/>
  <c r="I438" i="1" s="1"/>
  <c r="G632" i="1" s="1"/>
  <c r="J9" i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C19" i="2" s="1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C32" i="2" s="1"/>
  <c r="D23" i="2"/>
  <c r="D32" i="2" s="1"/>
  <c r="E23" i="2"/>
  <c r="F23" i="2"/>
  <c r="I441" i="1"/>
  <c r="J24" i="1" s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E34" i="2"/>
  <c r="E42" i="2" s="1"/>
  <c r="F34" i="2"/>
  <c r="C35" i="2"/>
  <c r="D35" i="2"/>
  <c r="E35" i="2"/>
  <c r="F35" i="2"/>
  <c r="C36" i="2"/>
  <c r="D36" i="2"/>
  <c r="E36" i="2"/>
  <c r="F36" i="2"/>
  <c r="F42" i="2" s="1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E49" i="2"/>
  <c r="E54" i="2" s="1"/>
  <c r="E55" i="2" s="1"/>
  <c r="C50" i="2"/>
  <c r="E50" i="2"/>
  <c r="C51" i="2"/>
  <c r="D51" i="2"/>
  <c r="D54" i="2" s="1"/>
  <c r="D55" i="2" s="1"/>
  <c r="D96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G61" i="2"/>
  <c r="C62" i="2"/>
  <c r="D62" i="2"/>
  <c r="E62" i="2"/>
  <c r="F62" i="2"/>
  <c r="G62" i="2"/>
  <c r="G73" i="2" s="1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E70" i="2" s="1"/>
  <c r="E73" i="2" s="1"/>
  <c r="F68" i="2"/>
  <c r="C69" i="2"/>
  <c r="D69" i="2"/>
  <c r="E69" i="2"/>
  <c r="F69" i="2"/>
  <c r="G69" i="2"/>
  <c r="D70" i="2"/>
  <c r="D73" i="2" s="1"/>
  <c r="G70" i="2"/>
  <c r="C71" i="2"/>
  <c r="D71" i="2"/>
  <c r="E71" i="2"/>
  <c r="C72" i="2"/>
  <c r="E72" i="2"/>
  <c r="C77" i="2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1" i="2"/>
  <c r="E107" i="2" s="1"/>
  <c r="C102" i="2"/>
  <c r="E102" i="2"/>
  <c r="E103" i="2"/>
  <c r="E104" i="2"/>
  <c r="C105" i="2"/>
  <c r="E105" i="2"/>
  <c r="C106" i="2"/>
  <c r="E106" i="2"/>
  <c r="D107" i="2"/>
  <c r="F107" i="2"/>
  <c r="G107" i="2"/>
  <c r="C110" i="2"/>
  <c r="E110" i="2"/>
  <c r="E111" i="2"/>
  <c r="C112" i="2"/>
  <c r="C113" i="2"/>
  <c r="E113" i="2"/>
  <c r="C114" i="2"/>
  <c r="C115" i="2"/>
  <c r="C116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E127" i="2"/>
  <c r="L256" i="1"/>
  <c r="C128" i="2" s="1"/>
  <c r="L257" i="1"/>
  <c r="C129" i="2"/>
  <c r="E129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/>
  <c r="I493" i="1"/>
  <c r="K493" i="1" s="1"/>
  <c r="E156" i="2"/>
  <c r="J493" i="1"/>
  <c r="F156" i="2"/>
  <c r="F19" i="1"/>
  <c r="G19" i="1"/>
  <c r="H19" i="1"/>
  <c r="I19" i="1"/>
  <c r="F33" i="1"/>
  <c r="G33" i="1"/>
  <c r="H33" i="1"/>
  <c r="I33" i="1"/>
  <c r="I44" i="1" s="1"/>
  <c r="H610" i="1" s="1"/>
  <c r="J610" i="1" s="1"/>
  <c r="F43" i="1"/>
  <c r="G612" i="1" s="1"/>
  <c r="G43" i="1"/>
  <c r="G44" i="1" s="1"/>
  <c r="H608" i="1" s="1"/>
  <c r="J608" i="1" s="1"/>
  <c r="H43" i="1"/>
  <c r="H44" i="1" s="1"/>
  <c r="H609" i="1" s="1"/>
  <c r="I43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F263" i="1" s="1"/>
  <c r="G249" i="1"/>
  <c r="G263" i="1" s="1"/>
  <c r="H249" i="1"/>
  <c r="H263" i="1" s="1"/>
  <c r="J249" i="1"/>
  <c r="H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F451" i="1"/>
  <c r="F460" i="1"/>
  <c r="G460" i="1"/>
  <c r="H460" i="1"/>
  <c r="I460" i="1"/>
  <c r="J460" i="1"/>
  <c r="J466" i="1" s="1"/>
  <c r="H616" i="1" s="1"/>
  <c r="F464" i="1"/>
  <c r="F466" i="1" s="1"/>
  <c r="H612" i="1" s="1"/>
  <c r="G464" i="1"/>
  <c r="G466" i="1" s="1"/>
  <c r="H613" i="1" s="1"/>
  <c r="H464" i="1"/>
  <c r="I464" i="1"/>
  <c r="I466" i="1" s="1"/>
  <c r="H615" i="1" s="1"/>
  <c r="J464" i="1"/>
  <c r="H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I535" i="1"/>
  <c r="L547" i="1"/>
  <c r="L548" i="1"/>
  <c r="L549" i="1"/>
  <c r="F550" i="1"/>
  <c r="G550" i="1"/>
  <c r="H550" i="1"/>
  <c r="I550" i="1"/>
  <c r="I561" i="1" s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61" i="1" s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G610" i="1"/>
  <c r="G613" i="1"/>
  <c r="J613" i="1" s="1"/>
  <c r="G614" i="1"/>
  <c r="H614" i="1"/>
  <c r="J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0" i="1"/>
  <c r="G631" i="1"/>
  <c r="J631" i="1" s="1"/>
  <c r="G633" i="1"/>
  <c r="J633" i="1" s="1"/>
  <c r="H633" i="1"/>
  <c r="G634" i="1"/>
  <c r="G635" i="1"/>
  <c r="H637" i="1"/>
  <c r="G639" i="1"/>
  <c r="J639" i="1" s="1"/>
  <c r="H639" i="1"/>
  <c r="G640" i="1"/>
  <c r="H640" i="1"/>
  <c r="J640" i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/>
  <c r="G645" i="1"/>
  <c r="H645" i="1"/>
  <c r="J645" i="1" s="1"/>
  <c r="J542" i="1" l="1"/>
  <c r="F96" i="2"/>
  <c r="C5" i="13"/>
  <c r="L535" i="1"/>
  <c r="E43" i="2"/>
  <c r="K539" i="1"/>
  <c r="F542" i="1"/>
  <c r="J185" i="1"/>
  <c r="L249" i="1"/>
  <c r="L263" i="1" s="1"/>
  <c r="G622" i="1" s="1"/>
  <c r="J622" i="1" s="1"/>
  <c r="I185" i="1"/>
  <c r="G620" i="1" s="1"/>
  <c r="J620" i="1" s="1"/>
  <c r="C133" i="2"/>
  <c r="L400" i="1"/>
  <c r="H650" i="1"/>
  <c r="E33" i="13"/>
  <c r="D35" i="13" s="1"/>
  <c r="C13" i="13"/>
  <c r="G156" i="2"/>
  <c r="J638" i="1"/>
  <c r="G153" i="2"/>
  <c r="J43" i="1"/>
  <c r="G36" i="2"/>
  <c r="G42" i="2" s="1"/>
  <c r="G43" i="2" s="1"/>
  <c r="C43" i="2"/>
  <c r="F185" i="1"/>
  <c r="G617" i="1" s="1"/>
  <c r="J617" i="1" s="1"/>
  <c r="G33" i="13"/>
  <c r="F43" i="2"/>
  <c r="K541" i="1"/>
  <c r="J635" i="1"/>
  <c r="H33" i="13"/>
  <c r="C25" i="13"/>
  <c r="J609" i="1"/>
  <c r="J612" i="1"/>
  <c r="G32" i="2"/>
  <c r="H185" i="1"/>
  <c r="G619" i="1" s="1"/>
  <c r="J619" i="1" s="1"/>
  <c r="J19" i="1"/>
  <c r="G611" i="1" s="1"/>
  <c r="G542" i="1"/>
  <c r="I653" i="1"/>
  <c r="L426" i="1"/>
  <c r="G628" i="1" s="1"/>
  <c r="J628" i="1" s="1"/>
  <c r="D43" i="2"/>
  <c r="C38" i="10"/>
  <c r="K490" i="1"/>
  <c r="C20" i="10"/>
  <c r="C36" i="10"/>
  <c r="L282" i="1"/>
  <c r="I450" i="1"/>
  <c r="I451" i="1" s="1"/>
  <c r="H632" i="1" s="1"/>
  <c r="J632" i="1" s="1"/>
  <c r="K330" i="1"/>
  <c r="K344" i="1" s="1"/>
  <c r="J33" i="1"/>
  <c r="G9" i="2"/>
  <c r="G19" i="2" s="1"/>
  <c r="L221" i="1"/>
  <c r="G650" i="1" s="1"/>
  <c r="C19" i="10"/>
  <c r="G161" i="1"/>
  <c r="G185" i="1" s="1"/>
  <c r="G618" i="1" s="1"/>
  <c r="J618" i="1" s="1"/>
  <c r="J263" i="1"/>
  <c r="E77" i="2"/>
  <c r="E83" i="2" s="1"/>
  <c r="E96" i="2" s="1"/>
  <c r="F652" i="1"/>
  <c r="I652" i="1" s="1"/>
  <c r="C16" i="10"/>
  <c r="E112" i="2"/>
  <c r="F33" i="13"/>
  <c r="D119" i="2"/>
  <c r="D120" i="2" s="1"/>
  <c r="D137" i="2" s="1"/>
  <c r="E123" i="2"/>
  <c r="E136" i="2" s="1"/>
  <c r="H651" i="1"/>
  <c r="C13" i="10"/>
  <c r="C101" i="2"/>
  <c r="C107" i="2" s="1"/>
  <c r="F44" i="1"/>
  <c r="H607" i="1" s="1"/>
  <c r="J607" i="1" s="1"/>
  <c r="C32" i="10"/>
  <c r="G651" i="1"/>
  <c r="C12" i="10"/>
  <c r="L604" i="1"/>
  <c r="C111" i="2"/>
  <c r="C120" i="2" s="1"/>
  <c r="F651" i="1"/>
  <c r="I651" i="1" s="1"/>
  <c r="L354" i="1"/>
  <c r="E116" i="2"/>
  <c r="C10" i="10"/>
  <c r="L374" i="1"/>
  <c r="G626" i="1" s="1"/>
  <c r="J626" i="1" s="1"/>
  <c r="F122" i="2"/>
  <c r="F136" i="2" s="1"/>
  <c r="F137" i="2" s="1"/>
  <c r="C123" i="2"/>
  <c r="C136" i="2" s="1"/>
  <c r="C137" i="2" l="1"/>
  <c r="G654" i="1"/>
  <c r="C39" i="10"/>
  <c r="G636" i="1"/>
  <c r="J636" i="1" s="1"/>
  <c r="G621" i="1"/>
  <c r="J621" i="1" s="1"/>
  <c r="H654" i="1"/>
  <c r="K542" i="1"/>
  <c r="C27" i="10"/>
  <c r="G625" i="1"/>
  <c r="J625" i="1" s="1"/>
  <c r="G627" i="1"/>
  <c r="J627" i="1" s="1"/>
  <c r="H636" i="1"/>
  <c r="E120" i="2"/>
  <c r="E137" i="2" s="1"/>
  <c r="F650" i="1"/>
  <c r="D31" i="13"/>
  <c r="L330" i="1"/>
  <c r="L344" i="1" s="1"/>
  <c r="G623" i="1" s="1"/>
  <c r="J623" i="1" s="1"/>
  <c r="J611" i="1"/>
  <c r="G616" i="1"/>
  <c r="J616" i="1" s="1"/>
  <c r="J44" i="1"/>
  <c r="H611" i="1" s="1"/>
  <c r="H646" i="1"/>
  <c r="H662" i="1" l="1"/>
  <c r="H657" i="1"/>
  <c r="C31" i="13"/>
  <c r="D33" i="13"/>
  <c r="D36" i="13" s="1"/>
  <c r="G662" i="1"/>
  <c r="G657" i="1"/>
  <c r="C28" i="10"/>
  <c r="I650" i="1"/>
  <c r="I654" i="1" s="1"/>
  <c r="F654" i="1"/>
  <c r="C41" i="10"/>
  <c r="C30" i="10" l="1"/>
  <c r="D25" i="10"/>
  <c r="D11" i="10"/>
  <c r="D22" i="10"/>
  <c r="D17" i="10"/>
  <c r="D15" i="10"/>
  <c r="D26" i="10"/>
  <c r="D24" i="10"/>
  <c r="D23" i="10"/>
  <c r="D18" i="10"/>
  <c r="D21" i="10"/>
  <c r="D19" i="10"/>
  <c r="D16" i="10"/>
  <c r="D10" i="10"/>
  <c r="D13" i="10"/>
  <c r="D20" i="10"/>
  <c r="D12" i="10"/>
  <c r="F662" i="1"/>
  <c r="C4" i="10" s="1"/>
  <c r="F657" i="1"/>
  <c r="D40" i="10"/>
  <c r="D35" i="10"/>
  <c r="D37" i="10"/>
  <c r="D36" i="10"/>
  <c r="D38" i="10"/>
  <c r="D39" i="10"/>
  <c r="D27" i="10"/>
  <c r="I662" i="1"/>
  <c r="C7" i="10" s="1"/>
  <c r="I657" i="1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8EB7497-1917-442C-9864-E83DBACBF20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CE6F382-4EC0-47B5-95F0-6FEF53C7F55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D9E04C3-8410-40E3-9190-9FB4750CC31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8DAEA9B-9F73-4DA7-9B99-3B3699633D6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4043982-EE14-44AF-9E7E-05CD4E913F8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3DE3ADD-404E-4345-B7EB-E9C45CCF35F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4760608-09D2-4218-94B0-0FD5834C1F2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0BEB2DC-05CC-4FC6-8B2F-1ABFA6E4ECB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F7181D2-46A2-459F-80FF-FDA059045D3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5DB11E4-45FB-4C60-BE8F-A5996DEB965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567A65C-EA9F-4C6C-BDEC-178A6A4DDF0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A436D8B-B47E-40E1-ADEB-913AA3336DD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<sst xmlns="http://schemas.openxmlformats.org/spreadsheetml/2006/main" count="3863" uniqueCount="895">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</sst>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E0FF-9771-4B03-95F9-7FA84BB186E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467</v>
      </c>
      <c r="C2" s="21">
        <v>467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128913.68</v>
      </c>
      <c r="G9" s="18">
        <v>869.63</v>
      </c>
      <c r="H9" s="18">
        <v>-27096.66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109072.51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49771.77</v>
      </c>
      <c r="G13" s="18">
        <v>15993.62</v>
      </c>
      <c r="H13" s="18">
        <v>27096.66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178685.44999999998</v>
      </c>
      <c r="G19" s="41">
        <f>SUM(G9:G18)</f>
        <v>16863.25</v>
      </c>
      <c r="H19" s="41">
        <f>SUM(H9:H18)</f>
        <v>0</v>
      </c>
      <c r="I19" s="41">
        <f>SUM(I9:I18)</f>
        <v>0</v>
      </c>
      <c r="J19" s="41">
        <f>SUM(J9:J18)</f>
        <v>109072.51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47037.97</v>
      </c>
      <c r="G25" s="18">
        <v>388.68</v>
      </c>
      <c r="H25" s="18" t="s">
        <v>310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46000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93037.97</v>
      </c>
      <c r="G33" s="41">
        <f>SUM(G23:G32)</f>
        <v>388.68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54925.87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16474.57</v>
      </c>
      <c r="H41" s="18" t="s">
        <v>310</v>
      </c>
      <c r="I41" s="18"/>
      <c r="J41" s="13">
        <f>SUM(I449)</f>
        <v>109072.51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30721.61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85647.48000000001</v>
      </c>
      <c r="G43" s="41">
        <f>SUM(G35:G42)</f>
        <v>16474.57</v>
      </c>
      <c r="H43" s="41">
        <f>SUM(H35:H42)</f>
        <v>0</v>
      </c>
      <c r="I43" s="41">
        <f>SUM(I35:I42)</f>
        <v>0</v>
      </c>
      <c r="J43" s="41">
        <f>SUM(J35:J42)</f>
        <v>109072.51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178685.45</v>
      </c>
      <c r="G44" s="41">
        <f>G43+G33</f>
        <v>16863.25</v>
      </c>
      <c r="H44" s="41">
        <f>H43+H33</f>
        <v>0</v>
      </c>
      <c r="I44" s="41">
        <f>I43+I33</f>
        <v>0</v>
      </c>
      <c r="J44" s="41">
        <f>J43+J33</f>
        <v>109072.51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1291490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1291490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235.26</v>
      </c>
      <c r="G88" s="18"/>
      <c r="H88" s="18"/>
      <c r="I88" s="18"/>
      <c r="J88" s="18">
        <v>39.520000000000003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19402.060000000001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11976.07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12211.33</v>
      </c>
      <c r="G103" s="41">
        <f>SUM(G88:G102)</f>
        <v>19402.060000000001</v>
      </c>
      <c r="H103" s="41">
        <f>SUM(H88:H102)</f>
        <v>0</v>
      </c>
      <c r="I103" s="41">
        <f>SUM(I88:I102)</f>
        <v>0</v>
      </c>
      <c r="J103" s="41">
        <f>SUM(J88:J102)</f>
        <v>39.520000000000003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1303701.33</v>
      </c>
      <c r="G104" s="41">
        <f>G52+G103</f>
        <v>19402.060000000001</v>
      </c>
      <c r="H104" s="41">
        <f>H52+H71+H86+H103</f>
        <v>0</v>
      </c>
      <c r="I104" s="41">
        <f>I52+I103</f>
        <v>0</v>
      </c>
      <c r="J104" s="41">
        <f>J52+J103</f>
        <v>39.520000000000003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493513.02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277723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189345.98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960582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8393.75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826.99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8393.75</v>
      </c>
      <c r="G128" s="41">
        <f>SUM(G115:G127)</f>
        <v>826.99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968975.75</v>
      </c>
      <c r="G132" s="41">
        <f>G113+SUM(G128:G129)</f>
        <v>826.99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51685.32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47956.18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38381.32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22084.99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38381.32</v>
      </c>
      <c r="G154" s="41">
        <f>SUM(G142:G153)</f>
        <v>47956.18</v>
      </c>
      <c r="H154" s="41">
        <f>SUM(H142:H153)</f>
        <v>73770.31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8596.5300000000007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46977.85</v>
      </c>
      <c r="G161" s="41">
        <f>G139+G154+SUM(G155:G160)</f>
        <v>47956.18</v>
      </c>
      <c r="H161" s="41">
        <f>H139+H154+SUM(H155:H160)</f>
        <v>73770.31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48000</v>
      </c>
      <c r="H171" s="18"/>
      <c r="I171" s="18"/>
      <c r="J171" s="18">
        <v>15000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5000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5000</v>
      </c>
      <c r="G175" s="41">
        <f>SUM(G171:G174)</f>
        <v>48000</v>
      </c>
      <c r="H175" s="41">
        <f>SUM(H171:H174)</f>
        <v>0</v>
      </c>
      <c r="I175" s="41">
        <f>SUM(I171:I174)</f>
        <v>0</v>
      </c>
      <c r="J175" s="41">
        <f>SUM(J171:J174)</f>
        <v>15000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5000</v>
      </c>
      <c r="G184" s="41">
        <f>G175+SUM(G180:G183)</f>
        <v>48000</v>
      </c>
      <c r="H184" s="41">
        <f>+H175+SUM(H180:H183)</f>
        <v>0</v>
      </c>
      <c r="I184" s="41">
        <f>I169+I175+SUM(I180:I183)</f>
        <v>0</v>
      </c>
      <c r="J184" s="41">
        <f>J175</f>
        <v>15000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2324654.9300000002</v>
      </c>
      <c r="G185" s="47">
        <f>G104+G132+G161+G184</f>
        <v>116185.23000000001</v>
      </c>
      <c r="H185" s="47">
        <f>H104+H132+H161+H184</f>
        <v>73770.31</v>
      </c>
      <c r="I185" s="47">
        <f>I104+I132+I161+I184</f>
        <v>0</v>
      </c>
      <c r="J185" s="47">
        <f>J104+J132+J184</f>
        <v>15039.52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605485.51</v>
      </c>
      <c r="G189" s="18">
        <v>232542.59</v>
      </c>
      <c r="H189" s="18">
        <v>2033</v>
      </c>
      <c r="I189" s="18">
        <v>37936.65</v>
      </c>
      <c r="J189" s="18">
        <v>7288.42</v>
      </c>
      <c r="K189" s="18">
        <v>2184</v>
      </c>
      <c r="L189" s="19">
        <f>SUM(F189:K189)</f>
        <v>887470.17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266987.46000000002</v>
      </c>
      <c r="G190" s="18">
        <v>77068.039999999994</v>
      </c>
      <c r="H190" s="18">
        <v>169322.37</v>
      </c>
      <c r="I190" s="18">
        <v>932.13</v>
      </c>
      <c r="J190" s="18"/>
      <c r="K190" s="18"/>
      <c r="L190" s="19">
        <f>SUM(F190:K190)</f>
        <v>514310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34551.040000000001</v>
      </c>
      <c r="G192" s="18">
        <v>3391.04</v>
      </c>
      <c r="H192" s="18">
        <v>2181.81</v>
      </c>
      <c r="I192" s="18">
        <v>1586.62</v>
      </c>
      <c r="J192" s="18"/>
      <c r="K192" s="18"/>
      <c r="L192" s="19">
        <f>SUM(F192:K192)</f>
        <v>41710.51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24838.1</v>
      </c>
      <c r="G194" s="18">
        <v>17097.93</v>
      </c>
      <c r="H194" s="18">
        <v>166539.76</v>
      </c>
      <c r="I194" s="18">
        <v>1940.43</v>
      </c>
      <c r="J194" s="18">
        <v>1742.99</v>
      </c>
      <c r="K194" s="18"/>
      <c r="L194" s="19">
        <f t="shared" ref="L194:L200" si="0">SUM(F194:K194)</f>
        <v>212159.21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9739.65</v>
      </c>
      <c r="G195" s="18">
        <v>6674.85</v>
      </c>
      <c r="H195" s="18">
        <v>1345.74</v>
      </c>
      <c r="I195" s="18">
        <v>1451.87</v>
      </c>
      <c r="J195" s="18"/>
      <c r="K195" s="18"/>
      <c r="L195" s="19">
        <f t="shared" si="0"/>
        <v>19212.11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5335</v>
      </c>
      <c r="G196" s="18">
        <v>379.45</v>
      </c>
      <c r="H196" s="18">
        <v>85089.83</v>
      </c>
      <c r="I196" s="18">
        <v>160</v>
      </c>
      <c r="J196" s="18"/>
      <c r="K196" s="18">
        <v>4223.6000000000004</v>
      </c>
      <c r="L196" s="19">
        <f t="shared" si="0"/>
        <v>95187.88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101714.61</v>
      </c>
      <c r="G197" s="18">
        <v>29301.22</v>
      </c>
      <c r="H197" s="18">
        <v>7331.37</v>
      </c>
      <c r="I197" s="18">
        <v>1592.71</v>
      </c>
      <c r="J197" s="18"/>
      <c r="K197" s="18">
        <v>880.09</v>
      </c>
      <c r="L197" s="19">
        <f t="shared" si="0"/>
        <v>140820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66369.81</v>
      </c>
      <c r="G199" s="18">
        <v>23477.83</v>
      </c>
      <c r="H199" s="18">
        <v>41688.18</v>
      </c>
      <c r="I199" s="18">
        <v>47174.9</v>
      </c>
      <c r="J199" s="18">
        <v>546.79999999999995</v>
      </c>
      <c r="K199" s="18"/>
      <c r="L199" s="19">
        <f t="shared" si="0"/>
        <v>179257.52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113664.77</v>
      </c>
      <c r="I200" s="18"/>
      <c r="J200" s="18"/>
      <c r="K200" s="18"/>
      <c r="L200" s="19">
        <f t="shared" si="0"/>
        <v>113664.77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1115021.1800000002</v>
      </c>
      <c r="G203" s="41">
        <f t="shared" si="1"/>
        <v>389932.95</v>
      </c>
      <c r="H203" s="41">
        <f t="shared" si="1"/>
        <v>589196.82999999996</v>
      </c>
      <c r="I203" s="41">
        <f t="shared" si="1"/>
        <v>92775.31</v>
      </c>
      <c r="J203" s="41">
        <f t="shared" si="1"/>
        <v>9578.2099999999991</v>
      </c>
      <c r="K203" s="41">
        <f t="shared" si="1"/>
        <v>7287.6900000000005</v>
      </c>
      <c r="L203" s="41">
        <f t="shared" si="1"/>
        <v>2203792.17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38927.89</v>
      </c>
      <c r="I247" s="18"/>
      <c r="J247" s="18"/>
      <c r="K247" s="18"/>
      <c r="L247" s="19">
        <f t="shared" si="6"/>
        <v>38927.89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38927.89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38927.89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1115021.1800000002</v>
      </c>
      <c r="G249" s="41">
        <f t="shared" si="8"/>
        <v>389932.95</v>
      </c>
      <c r="H249" s="41">
        <f t="shared" si="8"/>
        <v>628124.72</v>
      </c>
      <c r="I249" s="41">
        <f t="shared" si="8"/>
        <v>92775.31</v>
      </c>
      <c r="J249" s="41">
        <f t="shared" si="8"/>
        <v>9578.2099999999991</v>
      </c>
      <c r="K249" s="41">
        <f t="shared" si="8"/>
        <v>7287.6900000000005</v>
      </c>
      <c r="L249" s="41">
        <f t="shared" si="8"/>
        <v>2242720.06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48000</v>
      </c>
      <c r="L255" s="19">
        <f>SUM(F255:K255)</f>
        <v>48000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</v>
      </c>
      <c r="L258" s="19">
        <f t="shared" si="9"/>
        <v>15000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63000</v>
      </c>
      <c r="L262" s="41">
        <f t="shared" si="9"/>
        <v>63000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1115021.1800000002</v>
      </c>
      <c r="G263" s="42">
        <f t="shared" si="11"/>
        <v>389932.95</v>
      </c>
      <c r="H263" s="42">
        <f t="shared" si="11"/>
        <v>628124.72</v>
      </c>
      <c r="I263" s="42">
        <f t="shared" si="11"/>
        <v>92775.31</v>
      </c>
      <c r="J263" s="42">
        <f t="shared" si="11"/>
        <v>9578.2099999999991</v>
      </c>
      <c r="K263" s="42">
        <f t="shared" si="11"/>
        <v>70287.69</v>
      </c>
      <c r="L263" s="42">
        <f t="shared" si="11"/>
        <v>2305720.06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>
        <v>33678.370000000003</v>
      </c>
      <c r="K268" s="18"/>
      <c r="L268" s="19">
        <f>SUM(F268:K268)</f>
        <v>33678.370000000003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617.28</v>
      </c>
      <c r="I269" s="18">
        <v>1000</v>
      </c>
      <c r="J269" s="18">
        <v>1542.33</v>
      </c>
      <c r="K269" s="18"/>
      <c r="L269" s="19">
        <f>SUM(F269:K269)</f>
        <v>3159.6099999999997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3711.8</v>
      </c>
      <c r="G271" s="18">
        <v>486.24</v>
      </c>
      <c r="H271" s="18"/>
      <c r="I271" s="18"/>
      <c r="J271" s="18">
        <v>7.06</v>
      </c>
      <c r="K271" s="18"/>
      <c r="L271" s="19">
        <f>SUM(F271:K271)</f>
        <v>4205.1000000000004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27493.77</v>
      </c>
      <c r="I273" s="18"/>
      <c r="J273" s="18"/>
      <c r="K273" s="18"/>
      <c r="L273" s="19">
        <f t="shared" ref="L273:L279" si="12">SUM(F273:K273)</f>
        <v>27493.77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3778.07</v>
      </c>
      <c r="H274" s="18"/>
      <c r="I274" s="18"/>
      <c r="J274" s="18"/>
      <c r="K274" s="18"/>
      <c r="L274" s="19">
        <f t="shared" si="12"/>
        <v>3778.07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1455.39</v>
      </c>
      <c r="L277" s="19">
        <f t="shared" si="12"/>
        <v>1455.39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3711.8</v>
      </c>
      <c r="G282" s="42">
        <f t="shared" si="13"/>
        <v>4264.3100000000004</v>
      </c>
      <c r="H282" s="42">
        <f t="shared" si="13"/>
        <v>28111.05</v>
      </c>
      <c r="I282" s="42">
        <f t="shared" si="13"/>
        <v>1000</v>
      </c>
      <c r="J282" s="42">
        <f t="shared" si="13"/>
        <v>35227.760000000002</v>
      </c>
      <c r="K282" s="42">
        <f t="shared" si="13"/>
        <v>1455.39</v>
      </c>
      <c r="L282" s="41">
        <f t="shared" si="13"/>
        <v>73770.310000000012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3711.8</v>
      </c>
      <c r="G330" s="41">
        <f t="shared" si="20"/>
        <v>4264.3100000000004</v>
      </c>
      <c r="H330" s="41">
        <f t="shared" si="20"/>
        <v>28111.05</v>
      </c>
      <c r="I330" s="41">
        <f t="shared" si="20"/>
        <v>1000</v>
      </c>
      <c r="J330" s="41">
        <f t="shared" si="20"/>
        <v>35227.760000000002</v>
      </c>
      <c r="K330" s="41">
        <f t="shared" si="20"/>
        <v>1455.39</v>
      </c>
      <c r="L330" s="41">
        <f t="shared" si="20"/>
        <v>73770.310000000012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 t="s">
        <v>310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3711.8</v>
      </c>
      <c r="G344" s="41">
        <f>G330</f>
        <v>4264.3100000000004</v>
      </c>
      <c r="H344" s="41">
        <f>H330</f>
        <v>28111.05</v>
      </c>
      <c r="I344" s="41">
        <f>I330</f>
        <v>1000</v>
      </c>
      <c r="J344" s="41">
        <f>J330</f>
        <v>35227.760000000002</v>
      </c>
      <c r="K344" s="47">
        <f>K330+K343</f>
        <v>1455.39</v>
      </c>
      <c r="L344" s="41">
        <f>L330+L343</f>
        <v>73770.310000000012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40537.050000000003</v>
      </c>
      <c r="G350" s="18">
        <v>28738.74</v>
      </c>
      <c r="H350" s="18">
        <v>4006.57</v>
      </c>
      <c r="I350" s="18">
        <v>26598.27</v>
      </c>
      <c r="J350" s="18">
        <v>50</v>
      </c>
      <c r="K350" s="18"/>
      <c r="L350" s="13">
        <f>SUM(F350:K350)</f>
        <v>99930.630000000019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40537.050000000003</v>
      </c>
      <c r="G354" s="47">
        <f t="shared" si="22"/>
        <v>28738.74</v>
      </c>
      <c r="H354" s="47">
        <f t="shared" si="22"/>
        <v>4006.57</v>
      </c>
      <c r="I354" s="47">
        <f t="shared" si="22"/>
        <v>26598.27</v>
      </c>
      <c r="J354" s="47">
        <f t="shared" si="22"/>
        <v>50</v>
      </c>
      <c r="K354" s="47">
        <f t="shared" si="22"/>
        <v>0</v>
      </c>
      <c r="L354" s="47">
        <f t="shared" si="22"/>
        <v>99930.630000000019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24005.77</v>
      </c>
      <c r="G359" s="18"/>
      <c r="H359" s="18"/>
      <c r="I359" s="56">
        <f>SUM(F359:H359)</f>
        <v>24005.77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2592.5</v>
      </c>
      <c r="G360" s="63"/>
      <c r="H360" s="63"/>
      <c r="I360" s="56">
        <f>SUM(F360:H360)</f>
        <v>2592.5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26598.27</v>
      </c>
      <c r="G361" s="47">
        <f>SUM(G359:G360)</f>
        <v>0</v>
      </c>
      <c r="H361" s="47">
        <f>SUM(H359:H360)</f>
        <v>0</v>
      </c>
      <c r="I361" s="47">
        <f>SUM(I359:I360)</f>
        <v>26598.27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0.52</v>
      </c>
      <c r="I379" s="18"/>
      <c r="J379" s="24" t="s">
        <v>312</v>
      </c>
      <c r="K379" s="24" t="s">
        <v>312</v>
      </c>
      <c r="L379" s="56">
        <f t="shared" ref="L379:L384" si="25">SUM(F379:K379)</f>
        <v>0.52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0.52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0.52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v>21.82</v>
      </c>
      <c r="I388" s="18"/>
      <c r="J388" s="24" t="s">
        <v>312</v>
      </c>
      <c r="K388" s="24" t="s">
        <v>312</v>
      </c>
      <c r="L388" s="56">
        <f t="shared" si="26"/>
        <v>10021.82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</v>
      </c>
      <c r="H389" s="18">
        <v>17.18</v>
      </c>
      <c r="I389" s="18"/>
      <c r="J389" s="24" t="s">
        <v>312</v>
      </c>
      <c r="K389" s="24" t="s">
        <v>312</v>
      </c>
      <c r="L389" s="56">
        <f t="shared" si="26"/>
        <v>5017.18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39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15039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</v>
      </c>
      <c r="H400" s="47">
        <f>H385+H393+H399</f>
        <v>39.520000000000003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15039.52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 t="s">
        <v>310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109072.51</v>
      </c>
      <c r="G432" s="18"/>
      <c r="H432" s="18"/>
      <c r="I432" s="56">
        <f t="shared" si="33"/>
        <v>109072.51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109072.51</v>
      </c>
      <c r="G438" s="13">
        <f>SUM(G431:G437)</f>
        <v>0</v>
      </c>
      <c r="H438" s="13">
        <f>SUM(H431:H437)</f>
        <v>0</v>
      </c>
      <c r="I438" s="13">
        <f>SUM(I431:I437)</f>
        <v>109072.51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109072.51</v>
      </c>
      <c r="G449" s="18"/>
      <c r="H449" s="18"/>
      <c r="I449" s="56">
        <f>SUM(F449:H449)</f>
        <v>109072.51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109072.51</v>
      </c>
      <c r="G450" s="83">
        <f>SUM(G446:G449)</f>
        <v>0</v>
      </c>
      <c r="H450" s="83">
        <f>SUM(H446:H449)</f>
        <v>0</v>
      </c>
      <c r="I450" s="83">
        <f>SUM(I446:I449)</f>
        <v>109072.51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109072.51</v>
      </c>
      <c r="G451" s="42">
        <f>G444+G450</f>
        <v>0</v>
      </c>
      <c r="H451" s="42">
        <f>H444+H450</f>
        <v>0</v>
      </c>
      <c r="I451" s="42">
        <f>I444+I450</f>
        <v>109072.51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66712.61</v>
      </c>
      <c r="G455" s="18">
        <v>219.97</v>
      </c>
      <c r="H455" s="18"/>
      <c r="I455" s="18"/>
      <c r="J455" s="18">
        <v>94032.99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2324654.9300000002</v>
      </c>
      <c r="G458" s="18">
        <v>116185.23</v>
      </c>
      <c r="H458" s="18">
        <v>73770.31</v>
      </c>
      <c r="I458" s="18" t="s">
        <v>310</v>
      </c>
      <c r="J458" s="18">
        <v>15039.52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2324654.9300000002</v>
      </c>
      <c r="G460" s="53">
        <f>SUM(G458:G459)</f>
        <v>116185.23</v>
      </c>
      <c r="H460" s="53">
        <f>SUM(H458:H459)</f>
        <v>73770.31</v>
      </c>
      <c r="I460" s="53">
        <f>SUM(I458:I459)</f>
        <v>0</v>
      </c>
      <c r="J460" s="53">
        <f>SUM(J458:J459)</f>
        <v>15039.52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2305720.06</v>
      </c>
      <c r="G462" s="18">
        <v>99930.63</v>
      </c>
      <c r="H462" s="18">
        <v>73770.31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2305720.06</v>
      </c>
      <c r="G464" s="53">
        <f>SUM(G462:G463)</f>
        <v>99930.63</v>
      </c>
      <c r="H464" s="53">
        <f>SUM(H462:H463)</f>
        <v>73770.31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85647.479999999981</v>
      </c>
      <c r="G466" s="53">
        <f>(G455+G460)- G464</f>
        <v>16474.569999999992</v>
      </c>
      <c r="H466" s="53">
        <f>(H455+H460)- H464</f>
        <v>0</v>
      </c>
      <c r="I466" s="53">
        <f>(I455+I460)- I464</f>
        <v>0</v>
      </c>
      <c r="J466" s="53">
        <f>(J455+J460)- J464</f>
        <v>109072.51000000001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266987.46000000002</v>
      </c>
      <c r="G511" s="18">
        <v>77068.039999999994</v>
      </c>
      <c r="H511" s="18">
        <v>169939.65</v>
      </c>
      <c r="I511" s="18">
        <v>1932.13</v>
      </c>
      <c r="J511" s="18">
        <v>1542.33</v>
      </c>
      <c r="K511" s="18"/>
      <c r="L511" s="88">
        <f>SUM(F511:K511)</f>
        <v>517469.61000000004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266987.46000000002</v>
      </c>
      <c r="G514" s="108">
        <f t="shared" ref="G514:L514" si="35">SUM(G511:G513)</f>
        <v>77068.039999999994</v>
      </c>
      <c r="H514" s="108">
        <f t="shared" si="35"/>
        <v>169939.65</v>
      </c>
      <c r="I514" s="108">
        <f t="shared" si="35"/>
        <v>1932.13</v>
      </c>
      <c r="J514" s="108">
        <f t="shared" si="35"/>
        <v>1542.33</v>
      </c>
      <c r="K514" s="108">
        <f t="shared" si="35"/>
        <v>0</v>
      </c>
      <c r="L514" s="89">
        <f t="shared" si="35"/>
        <v>517469.61000000004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24838.1</v>
      </c>
      <c r="G516" s="18">
        <v>17097.93</v>
      </c>
      <c r="H516" s="18">
        <v>182305.54</v>
      </c>
      <c r="I516" s="18">
        <v>1940.43</v>
      </c>
      <c r="J516" s="18">
        <v>612.99</v>
      </c>
      <c r="K516" s="18">
        <v>1130</v>
      </c>
      <c r="L516" s="88">
        <f>SUM(F516:K516)</f>
        <v>227924.99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24838.1</v>
      </c>
      <c r="G519" s="89">
        <f t="shared" ref="G519:L519" si="36">SUM(G516:G518)</f>
        <v>17097.93</v>
      </c>
      <c r="H519" s="89">
        <f t="shared" si="36"/>
        <v>182305.54</v>
      </c>
      <c r="I519" s="89">
        <f t="shared" si="36"/>
        <v>1940.43</v>
      </c>
      <c r="J519" s="89">
        <f t="shared" si="36"/>
        <v>612.99</v>
      </c>
      <c r="K519" s="89">
        <f t="shared" si="36"/>
        <v>1130</v>
      </c>
      <c r="L519" s="89">
        <f t="shared" si="36"/>
        <v>227924.99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6521.62</v>
      </c>
      <c r="G521" s="18">
        <v>1562.9</v>
      </c>
      <c r="H521" s="18">
        <v>73.459999999999994</v>
      </c>
      <c r="I521" s="18"/>
      <c r="J521" s="18"/>
      <c r="K521" s="18">
        <v>10.85</v>
      </c>
      <c r="L521" s="88">
        <f>SUM(F521:K521)</f>
        <v>8168.8300000000008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6521.62</v>
      </c>
      <c r="G524" s="89">
        <f t="shared" ref="G524:L524" si="37">SUM(G521:G523)</f>
        <v>1562.9</v>
      </c>
      <c r="H524" s="89">
        <f t="shared" si="37"/>
        <v>73.459999999999994</v>
      </c>
      <c r="I524" s="89">
        <f t="shared" si="37"/>
        <v>0</v>
      </c>
      <c r="J524" s="89">
        <f t="shared" si="37"/>
        <v>0</v>
      </c>
      <c r="K524" s="89">
        <f t="shared" si="37"/>
        <v>10.85</v>
      </c>
      <c r="L524" s="89">
        <f t="shared" si="37"/>
        <v>8168.8300000000008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23137.25</v>
      </c>
      <c r="I531" s="18"/>
      <c r="J531" s="18"/>
      <c r="K531" s="18"/>
      <c r="L531" s="88">
        <f>SUM(F531:K531)</f>
        <v>23137.25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23137.25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23137.25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298347.18</v>
      </c>
      <c r="G535" s="89">
        <f t="shared" ref="G535:L535" si="40">G514+G519+G524+G529+G534</f>
        <v>95728.87</v>
      </c>
      <c r="H535" s="89">
        <f t="shared" si="40"/>
        <v>375455.9</v>
      </c>
      <c r="I535" s="89">
        <f t="shared" si="40"/>
        <v>3872.5600000000004</v>
      </c>
      <c r="J535" s="89">
        <f t="shared" si="40"/>
        <v>2155.3199999999997</v>
      </c>
      <c r="K535" s="89">
        <f t="shared" si="40"/>
        <v>1140.8499999999999</v>
      </c>
      <c r="L535" s="89">
        <f t="shared" si="40"/>
        <v>776700.68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517469.61000000004</v>
      </c>
      <c r="G539" s="87">
        <f>L516</f>
        <v>227924.99</v>
      </c>
      <c r="H539" s="87">
        <f>L521</f>
        <v>8168.8300000000008</v>
      </c>
      <c r="I539" s="87">
        <f>L526</f>
        <v>0</v>
      </c>
      <c r="J539" s="87">
        <f>L531</f>
        <v>23137.25</v>
      </c>
      <c r="K539" s="87">
        <f>SUM(F539:J539)</f>
        <v>776700.68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517469.61000000004</v>
      </c>
      <c r="G542" s="89">
        <f t="shared" si="41"/>
        <v>227924.99</v>
      </c>
      <c r="H542" s="89">
        <f t="shared" si="41"/>
        <v>8168.8300000000008</v>
      </c>
      <c r="I542" s="89">
        <f t="shared" si="41"/>
        <v>0</v>
      </c>
      <c r="J542" s="89">
        <f t="shared" si="41"/>
        <v>23137.25</v>
      </c>
      <c r="K542" s="89">
        <f t="shared" si="41"/>
        <v>776700.68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6830.5</v>
      </c>
      <c r="G569" s="18"/>
      <c r="H569" s="18"/>
      <c r="I569" s="87">
        <f t="shared" si="46"/>
        <v>6830.5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144873.44</v>
      </c>
      <c r="G573" s="18"/>
      <c r="H573" s="18"/>
      <c r="I573" s="87">
        <f t="shared" si="46"/>
        <v>144873.44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83885.440000000002</v>
      </c>
      <c r="I581" s="18"/>
      <c r="J581" s="18"/>
      <c r="K581" s="104">
        <f t="shared" ref="K581:K587" si="47">SUM(H581:J581)</f>
        <v>83885.440000000002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23137.25</v>
      </c>
      <c r="I582" s="18"/>
      <c r="J582" s="18"/>
      <c r="K582" s="104">
        <f t="shared" si="47"/>
        <v>23137.25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2287.08</v>
      </c>
      <c r="I584" s="18"/>
      <c r="J584" s="18"/>
      <c r="K584" s="104">
        <f t="shared" si="47"/>
        <v>2287.08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4355</v>
      </c>
      <c r="I585" s="18"/>
      <c r="J585" s="18"/>
      <c r="K585" s="104">
        <f t="shared" si="47"/>
        <v>4355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113664.77</v>
      </c>
      <c r="I588" s="108">
        <f>SUM(I581:I587)</f>
        <v>0</v>
      </c>
      <c r="J588" s="108">
        <f>SUM(J581:J587)</f>
        <v>0</v>
      </c>
      <c r="K588" s="108">
        <f>SUM(K581:K587)</f>
        <v>113664.77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44805.97</v>
      </c>
      <c r="I594" s="18"/>
      <c r="J594" s="18"/>
      <c r="K594" s="104">
        <f>SUM(H594:J594)</f>
        <v>44805.97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44805.97</v>
      </c>
      <c r="I595" s="108">
        <f>SUM(I592:I594)</f>
        <v>0</v>
      </c>
      <c r="J595" s="108">
        <f>SUM(J592:J594)</f>
        <v>0</v>
      </c>
      <c r="K595" s="108">
        <f>SUM(K592:K594)</f>
        <v>44805.97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178685.44999999998</v>
      </c>
      <c r="H607" s="109">
        <f>SUM(F44)</f>
        <v>178685.45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16863.25</v>
      </c>
      <c r="H608" s="109">
        <f>SUM(G44)</f>
        <v>16863.25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109072.51</v>
      </c>
      <c r="H611" s="109">
        <f>SUM(J44)</f>
        <v>109072.51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85647.48000000001</v>
      </c>
      <c r="H612" s="109">
        <f>F466</f>
        <v>85647.479999999981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16474.57</v>
      </c>
      <c r="H613" s="109">
        <f>G466</f>
        <v>16474.569999999992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109072.51</v>
      </c>
      <c r="H616" s="109">
        <f>J466</f>
        <v>109072.51000000001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2324654.9300000002</v>
      </c>
      <c r="H617" s="104">
        <f>SUM(F458)</f>
        <v>2324654.9300000002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116185.23000000001</v>
      </c>
      <c r="H618" s="104">
        <f>SUM(G458)</f>
        <v>116185.23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73770.31</v>
      </c>
      <c r="H619" s="104">
        <f>SUM(H458)</f>
        <v>73770.31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15039.52</v>
      </c>
      <c r="H621" s="104">
        <f>SUM(J458)</f>
        <v>15039.52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2305720.06</v>
      </c>
      <c r="H622" s="104">
        <f>SUM(F462)</f>
        <v>2305720.06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73770.310000000012</v>
      </c>
      <c r="H623" s="104">
        <f>SUM(H462)</f>
        <v>73770.31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26598.27</v>
      </c>
      <c r="H624" s="104">
        <f>I361</f>
        <v>26598.27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99930.630000000019</v>
      </c>
      <c r="H625" s="104">
        <f>SUM(G462)</f>
        <v>99930.63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15039.52</v>
      </c>
      <c r="H627" s="164">
        <f>SUM(J458)</f>
        <v>15039.52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109072.51</v>
      </c>
      <c r="H629" s="104">
        <f>SUM(F451)</f>
        <v>109072.51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109072.51</v>
      </c>
      <c r="H632" s="104">
        <f>SUM(I451)</f>
        <v>109072.51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39.520000000000003</v>
      </c>
      <c r="H634" s="104">
        <f>H400</f>
        <v>39.520000000000003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</v>
      </c>
      <c r="H635" s="104">
        <f>G400</f>
        <v>15000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15039.52</v>
      </c>
      <c r="H636" s="104">
        <f>L400</f>
        <v>15039.52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113664.77</v>
      </c>
      <c r="H637" s="104">
        <f>L200+L218+L236</f>
        <v>113664.77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44805.97</v>
      </c>
      <c r="H638" s="104">
        <f>(J249+J330)-(J247+J328)</f>
        <v>44805.97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113664.77</v>
      </c>
      <c r="H639" s="104">
        <f>H588</f>
        <v>113664.77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48000</v>
      </c>
      <c r="H642" s="104">
        <f>K255+K337</f>
        <v>48000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</v>
      </c>
      <c r="H645" s="104">
        <f>K258+K339</f>
        <v>15000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2377493.11</v>
      </c>
      <c r="G650" s="19">
        <f>(L221+L301+L351)</f>
        <v>0</v>
      </c>
      <c r="H650" s="19">
        <f>(L239+L320+L352)</f>
        <v>0</v>
      </c>
      <c r="I650" s="19">
        <f>SUM(F650:H650)</f>
        <v>2377493.11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19402.060000000001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19402.060000000001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113664.77</v>
      </c>
      <c r="G652" s="19">
        <f>(L218+L298)-(J218+J298)</f>
        <v>0</v>
      </c>
      <c r="H652" s="19">
        <f>(L236+L317)-(J236+J317)</f>
        <v>0</v>
      </c>
      <c r="I652" s="19">
        <f>SUM(F652:H652)</f>
        <v>113664.77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196509.91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196509.91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2047916.3699999999</v>
      </c>
      <c r="G654" s="19">
        <f>G650-SUM(G651:G653)</f>
        <v>0</v>
      </c>
      <c r="H654" s="19">
        <f>H650-SUM(H651:H653)</f>
        <v>0</v>
      </c>
      <c r="I654" s="19">
        <f>I650-SUM(I651:I653)</f>
        <v>2047916.3699999999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117.05</v>
      </c>
      <c r="G655" s="249"/>
      <c r="H655" s="249"/>
      <c r="I655" s="19">
        <f>SUM(F655:H655)</f>
        <v>117.05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17496.080000000002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17496.080000000002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17496.080000000002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17496.080000000002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D1DA-C301-4930-ACD8-DB63930FA58A}">
  <sheetPr>
    <tabColor indexed="20"/>
  </sheetPr>
  <dimension ref="A1:C52"/>
  <sheetViews>
    <sheetView workbookViewId="0">
      <selection activeCell="C54" sqref="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RUMNEY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605485.51</v>
      </c>
      <c r="C9" s="230">
        <f>'DOE25'!G189+'DOE25'!G207+'DOE25'!G225+'DOE25'!G268+'DOE25'!G287+'DOE25'!G306</f>
        <v>232542.59</v>
      </c>
    </row>
    <row r="10" spans="1:3" x14ac:dyDescent="0.2">
      <c r="A10" t="s">
        <v>813</v>
      </c>
      <c r="B10" s="241">
        <v>563709.1</v>
      </c>
      <c r="C10" s="241">
        <v>225627.79</v>
      </c>
    </row>
    <row r="11" spans="1:3" x14ac:dyDescent="0.2">
      <c r="A11" t="s">
        <v>814</v>
      </c>
      <c r="B11" s="241">
        <v>30661.41</v>
      </c>
      <c r="C11" s="241">
        <v>5963.85</v>
      </c>
    </row>
    <row r="12" spans="1:3" x14ac:dyDescent="0.2">
      <c r="A12" t="s">
        <v>815</v>
      </c>
      <c r="B12" s="241">
        <v>11115</v>
      </c>
      <c r="C12" s="241">
        <v>950.95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605485.51</v>
      </c>
      <c r="C13" s="232">
        <f>SUM(C10:C12)</f>
        <v>232542.59000000003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266987.46000000002</v>
      </c>
      <c r="C18" s="230">
        <f>'DOE25'!G190+'DOE25'!G208+'DOE25'!G226+'DOE25'!G269+'DOE25'!G288+'DOE25'!G307</f>
        <v>77068.039999999994</v>
      </c>
    </row>
    <row r="19" spans="1:3" x14ac:dyDescent="0.2">
      <c r="A19" t="s">
        <v>813</v>
      </c>
      <c r="B19" s="241">
        <v>109158.02</v>
      </c>
      <c r="C19" s="241">
        <v>59768.81</v>
      </c>
    </row>
    <row r="20" spans="1:3" x14ac:dyDescent="0.2">
      <c r="A20" t="s">
        <v>814</v>
      </c>
      <c r="B20" s="241">
        <v>151840.44</v>
      </c>
      <c r="C20" s="241">
        <v>16567.64</v>
      </c>
    </row>
    <row r="21" spans="1:3" x14ac:dyDescent="0.2">
      <c r="A21" t="s">
        <v>815</v>
      </c>
      <c r="B21" s="241">
        <v>5989</v>
      </c>
      <c r="C21" s="241">
        <v>731.59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266987.46000000002</v>
      </c>
      <c r="C22" s="232">
        <f>SUM(C19:C21)</f>
        <v>77068.039999999994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38262.840000000004</v>
      </c>
      <c r="C36" s="236">
        <f>'DOE25'!G192+'DOE25'!G210+'DOE25'!G228+'DOE25'!G271+'DOE25'!G290+'DOE25'!G309</f>
        <v>3877.2799999999997</v>
      </c>
    </row>
    <row r="37" spans="1:3" x14ac:dyDescent="0.2">
      <c r="A37" t="s">
        <v>813</v>
      </c>
      <c r="B37" s="241">
        <v>38262.839999999997</v>
      </c>
      <c r="C37" s="241">
        <v>3877.28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38262.839999999997</v>
      </c>
      <c r="C40" s="232">
        <f>SUM(C37:C39)</f>
        <v>3877.28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CB8-DE66-488D-A523-8727D724C1C1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RUMNEY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1443490.68</v>
      </c>
      <c r="D5" s="20">
        <f>SUM('DOE25'!L189:L192)+SUM('DOE25'!L207:L210)+SUM('DOE25'!L225:L228)-F5-G5</f>
        <v>1434018.26</v>
      </c>
      <c r="E5" s="244"/>
      <c r="F5" s="256">
        <f>SUM('DOE25'!J189:J192)+SUM('DOE25'!J207:J210)+SUM('DOE25'!J225:J228)</f>
        <v>7288.42</v>
      </c>
      <c r="G5" s="53">
        <f>SUM('DOE25'!K189:K192)+SUM('DOE25'!K207:K210)+SUM('DOE25'!K225:K228)</f>
        <v>2184</v>
      </c>
      <c r="H5" s="260"/>
    </row>
    <row r="6" spans="1:9" x14ac:dyDescent="0.2">
      <c r="A6" s="32">
        <v>2100</v>
      </c>
      <c r="B6" t="s">
        <v>835</v>
      </c>
      <c r="C6" s="246">
        <f t="shared" si="0"/>
        <v>212159.21</v>
      </c>
      <c r="D6" s="20">
        <f>'DOE25'!L194+'DOE25'!L212+'DOE25'!L230-F6-G6</f>
        <v>210416.22</v>
      </c>
      <c r="E6" s="244"/>
      <c r="F6" s="256">
        <f>'DOE25'!J194+'DOE25'!J212+'DOE25'!J230</f>
        <v>1742.99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19212.11</v>
      </c>
      <c r="D7" s="20">
        <f>'DOE25'!L195+'DOE25'!L213+'DOE25'!L231-F7-G7</f>
        <v>19212.11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59500.029999999992</v>
      </c>
      <c r="D8" s="244"/>
      <c r="E8" s="20">
        <f>'DOE25'!L196+'DOE25'!L214+'DOE25'!L232-F8-G8-D9-D11</f>
        <v>55276.429999999993</v>
      </c>
      <c r="F8" s="256">
        <f>'DOE25'!J196+'DOE25'!J214+'DOE25'!J232</f>
        <v>0</v>
      </c>
      <c r="G8" s="53">
        <f>'DOE25'!K196+'DOE25'!K214+'DOE25'!K232</f>
        <v>4223.6000000000004</v>
      </c>
      <c r="H8" s="260"/>
    </row>
    <row r="9" spans="1:9" x14ac:dyDescent="0.2">
      <c r="A9" s="32">
        <v>2310</v>
      </c>
      <c r="B9" t="s">
        <v>852</v>
      </c>
      <c r="C9" s="246">
        <f t="shared" si="0"/>
        <v>21374.880000000001</v>
      </c>
      <c r="D9" s="245">
        <v>21374.880000000001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14312.97</v>
      </c>
      <c r="D11" s="245">
        <v>14312.97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140820</v>
      </c>
      <c r="D12" s="20">
        <f>'DOE25'!L197+'DOE25'!L215+'DOE25'!L233-F12-G12</f>
        <v>139939.91</v>
      </c>
      <c r="E12" s="244"/>
      <c r="F12" s="256">
        <f>'DOE25'!J197+'DOE25'!J215+'DOE25'!J233</f>
        <v>0</v>
      </c>
      <c r="G12" s="53">
        <f>'DOE25'!K197+'DOE25'!K215+'DOE25'!K233</f>
        <v>880.09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179257.52</v>
      </c>
      <c r="D14" s="20">
        <f>'DOE25'!L199+'DOE25'!L217+'DOE25'!L235-F14-G14</f>
        <v>178710.72</v>
      </c>
      <c r="E14" s="244"/>
      <c r="F14" s="256">
        <f>'DOE25'!J199+'DOE25'!J217+'DOE25'!J235</f>
        <v>546.79999999999995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113664.77</v>
      </c>
      <c r="D15" s="20">
        <f>'DOE25'!L200+'DOE25'!L218+'DOE25'!L236-F15-G15</f>
        <v>113664.77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38927.89</v>
      </c>
      <c r="D22" s="244"/>
      <c r="E22" s="244"/>
      <c r="F22" s="256">
        <f>'DOE25'!L247+'DOE25'!L328</f>
        <v>38927.89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75924.860000000015</v>
      </c>
      <c r="D29" s="20">
        <f>'DOE25'!L350+'DOE25'!L351+'DOE25'!L352-'DOE25'!I359-F29-G29</f>
        <v>75874.860000000015</v>
      </c>
      <c r="E29" s="244"/>
      <c r="F29" s="256">
        <f>'DOE25'!J350+'DOE25'!J351+'DOE25'!J352</f>
        <v>50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73770.310000000012</v>
      </c>
      <c r="D31" s="20">
        <f>'DOE25'!L282+'DOE25'!L301+'DOE25'!L320+'DOE25'!L325+'DOE25'!L326+'DOE25'!L327-F31-G31</f>
        <v>37087.160000000011</v>
      </c>
      <c r="E31" s="244"/>
      <c r="F31" s="256">
        <f>'DOE25'!J282+'DOE25'!J301+'DOE25'!J320+'DOE25'!J325+'DOE25'!J326+'DOE25'!J327</f>
        <v>35227.760000000002</v>
      </c>
      <c r="G31" s="53">
        <f>'DOE25'!K282+'DOE25'!K301+'DOE25'!K320+'DOE25'!K325+'DOE25'!K326+'DOE25'!K327</f>
        <v>1455.39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2244611.86</v>
      </c>
      <c r="E33" s="247">
        <f>SUM(E5:E31)</f>
        <v>59276.429999999993</v>
      </c>
      <c r="F33" s="247">
        <f>SUM(F5:F31)</f>
        <v>83783.86</v>
      </c>
      <c r="G33" s="247">
        <f>SUM(G5:G31)</f>
        <v>8743.08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59276.429999999993</v>
      </c>
      <c r="E35" s="250"/>
    </row>
    <row r="36" spans="2:8" ht="12" thickTop="1" x14ac:dyDescent="0.2">
      <c r="B36" t="s">
        <v>849</v>
      </c>
      <c r="D36" s="20">
        <f>D33</f>
        <v>2244611.86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E0CE-7B1F-4E23-9A52-31FF9A9B1CC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128913.68</v>
      </c>
      <c r="D9" s="95">
        <f>'DOE25'!G9</f>
        <v>869.63</v>
      </c>
      <c r="E9" s="95">
        <f>'DOE25'!H9</f>
        <v>-27096.66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109072.51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49771.77</v>
      </c>
      <c r="D13" s="95">
        <f>'DOE25'!G13</f>
        <v>15993.62</v>
      </c>
      <c r="E13" s="95">
        <f>'DOE25'!H13</f>
        <v>27096.66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178685.44999999998</v>
      </c>
      <c r="D19" s="41">
        <f>SUM(D9:D18)</f>
        <v>16863.25</v>
      </c>
      <c r="E19" s="41">
        <f>SUM(E9:E18)</f>
        <v>0</v>
      </c>
      <c r="F19" s="41">
        <f>SUM(F9:F18)</f>
        <v>0</v>
      </c>
      <c r="G19" s="41">
        <f>SUM(G9:G18)</f>
        <v>109072.51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47037.97</v>
      </c>
      <c r="D24" s="95">
        <f>'DOE25'!G25</f>
        <v>388.68</v>
      </c>
      <c r="E24" s="95" t="str">
        <f>'DOE25'!H25</f>
        <v xml:space="preserve"> 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46000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93037.97</v>
      </c>
      <c r="D32" s="41">
        <f>SUM(D22:D31)</f>
        <v>388.68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54925.87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16474.57</v>
      </c>
      <c r="E40" s="95" t="str">
        <f>'DOE25'!H41</f>
        <v xml:space="preserve"> </v>
      </c>
      <c r="F40" s="95">
        <f>'DOE25'!I41</f>
        <v>0</v>
      </c>
      <c r="G40" s="95">
        <f>'DOE25'!J41</f>
        <v>109072.51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30721.61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85647.48000000001</v>
      </c>
      <c r="D42" s="41">
        <f>SUM(D34:D41)</f>
        <v>16474.57</v>
      </c>
      <c r="E42" s="41">
        <f>SUM(E34:E41)</f>
        <v>0</v>
      </c>
      <c r="F42" s="41">
        <f>SUM(F34:F41)</f>
        <v>0</v>
      </c>
      <c r="G42" s="41">
        <f>SUM(G34:G41)</f>
        <v>109072.51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178685.45</v>
      </c>
      <c r="D43" s="41">
        <f>D42+D32</f>
        <v>16863.25</v>
      </c>
      <c r="E43" s="41">
        <f>E42+E32</f>
        <v>0</v>
      </c>
      <c r="F43" s="41">
        <f>F42+F32</f>
        <v>0</v>
      </c>
      <c r="G43" s="41">
        <f>G42+G32</f>
        <v>109072.51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1291490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235.26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39.520000000000003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19402.060000000001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11976.07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12211.33</v>
      </c>
      <c r="D54" s="130">
        <f>SUM(D49:D53)</f>
        <v>19402.060000000001</v>
      </c>
      <c r="E54" s="130">
        <f>SUM(E49:E53)</f>
        <v>0</v>
      </c>
      <c r="F54" s="130">
        <f>SUM(F49:F53)</f>
        <v>0</v>
      </c>
      <c r="G54" s="130">
        <f>SUM(G49:G53)</f>
        <v>39.520000000000003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1303701.33</v>
      </c>
      <c r="D55" s="22">
        <f>D48+D54</f>
        <v>19402.060000000001</v>
      </c>
      <c r="E55" s="22">
        <f>E48+E54</f>
        <v>0</v>
      </c>
      <c r="F55" s="22">
        <f>F48+F54</f>
        <v>0</v>
      </c>
      <c r="G55" s="22">
        <f>G48+G54</f>
        <v>39.520000000000003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493513.02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277723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189345.98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960582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8393.75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826.99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8393.75</v>
      </c>
      <c r="D70" s="130">
        <f>SUM(D64:D69)</f>
        <v>826.99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968975.75</v>
      </c>
      <c r="D73" s="130">
        <f>SUM(D71:D72)+D70+D62</f>
        <v>826.99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38381.32</v>
      </c>
      <c r="D80" s="95">
        <f>SUM('DOE25'!G145:G153)</f>
        <v>47956.18</v>
      </c>
      <c r="E80" s="95">
        <f>SUM('DOE25'!H145:H153)</f>
        <v>73770.31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8596.5300000000007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46977.85</v>
      </c>
      <c r="D83" s="131">
        <f>SUM(D77:D82)</f>
        <v>47956.18</v>
      </c>
      <c r="E83" s="131">
        <f>SUM(E77:E82)</f>
        <v>73770.31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48000</v>
      </c>
      <c r="E88" s="95">
        <f>'DOE25'!H171</f>
        <v>0</v>
      </c>
      <c r="F88" s="95">
        <f>'DOE25'!I171</f>
        <v>0</v>
      </c>
      <c r="G88" s="95">
        <f>'DOE25'!J171</f>
        <v>15000</v>
      </c>
    </row>
    <row r="89" spans="1:7" x14ac:dyDescent="0.2">
      <c r="A89" t="s">
        <v>790</v>
      </c>
      <c r="B89" s="32" t="s">
        <v>211</v>
      </c>
      <c r="C89" s="95">
        <f>SUM('DOE25'!F172:F173)</f>
        <v>5000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5000</v>
      </c>
      <c r="D95" s="86">
        <f>SUM(D85:D94)</f>
        <v>48000</v>
      </c>
      <c r="E95" s="86">
        <f>SUM(E85:E94)</f>
        <v>0</v>
      </c>
      <c r="F95" s="86">
        <f>SUM(F85:F94)</f>
        <v>0</v>
      </c>
      <c r="G95" s="86">
        <f>SUM(G85:G94)</f>
        <v>15000</v>
      </c>
    </row>
    <row r="96" spans="1:7" ht="12.75" thickTop="1" thickBot="1" x14ac:dyDescent="0.25">
      <c r="A96" s="33" t="s">
        <v>797</v>
      </c>
      <c r="C96" s="86">
        <f>C55+C73+C83+C95</f>
        <v>2324654.9300000002</v>
      </c>
      <c r="D96" s="86">
        <f>D55+D73+D83+D95</f>
        <v>116185.23000000001</v>
      </c>
      <c r="E96" s="86">
        <f>E55+E73+E83+E95</f>
        <v>73770.31</v>
      </c>
      <c r="F96" s="86">
        <f>F55+F73+F83+F95</f>
        <v>0</v>
      </c>
      <c r="G96" s="86">
        <f>G55+G73+G95</f>
        <v>15039.52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887470.17</v>
      </c>
      <c r="D101" s="24" t="s">
        <v>312</v>
      </c>
      <c r="E101" s="95">
        <f>('DOE25'!L268)+('DOE25'!L287)+('DOE25'!L306)</f>
        <v>33678.370000000003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514310</v>
      </c>
      <c r="D102" s="24" t="s">
        <v>312</v>
      </c>
      <c r="E102" s="95">
        <f>('DOE25'!L269)+('DOE25'!L288)+('DOE25'!L307)</f>
        <v>3159.6099999999997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41710.51</v>
      </c>
      <c r="D104" s="24" t="s">
        <v>312</v>
      </c>
      <c r="E104" s="95">
        <f>+('DOE25'!L271)+('DOE25'!L290)+('DOE25'!L309)</f>
        <v>4205.1000000000004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1443490.68</v>
      </c>
      <c r="D107" s="86">
        <f>SUM(D101:D106)</f>
        <v>0</v>
      </c>
      <c r="E107" s="86">
        <f>SUM(E101:E106)</f>
        <v>41043.08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212159.21</v>
      </c>
      <c r="D110" s="24" t="s">
        <v>312</v>
      </c>
      <c r="E110" s="95">
        <f>+('DOE25'!L273)+('DOE25'!L292)+('DOE25'!L311)</f>
        <v>27493.77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19212.11</v>
      </c>
      <c r="D111" s="24" t="s">
        <v>312</v>
      </c>
      <c r="E111" s="95">
        <f>+('DOE25'!L274)+('DOE25'!L293)+('DOE25'!L312)</f>
        <v>3778.07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95187.88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140820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1455.39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179257.52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113664.77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99930.630000000019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760301.49</v>
      </c>
      <c r="D120" s="86">
        <f>SUM(D110:D119)</f>
        <v>99930.630000000019</v>
      </c>
      <c r="E120" s="86">
        <f>SUM(E110:E119)</f>
        <v>32727.23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38927.89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48000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0.52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15039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-39.520000000000437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101927.89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2305720.06</v>
      </c>
      <c r="D137" s="86">
        <f>(D107+D120+D136)</f>
        <v>99930.630000000019</v>
      </c>
      <c r="E137" s="86">
        <f>(E107+E120+E136)</f>
        <v>73770.31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D992-F836-4571-9210-123E51A935C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RUMNEY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17496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17496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921149</v>
      </c>
      <c r="D10" s="182">
        <f>ROUND((C10/$C$28)*100,1)</f>
        <v>39.1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517470</v>
      </c>
      <c r="D11" s="182">
        <f>ROUND((C11/$C$28)*100,1)</f>
        <v>21.9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45916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239653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22990</v>
      </c>
      <c r="D16" s="182">
        <f t="shared" si="0"/>
        <v>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95188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140820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1455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179258</v>
      </c>
      <c r="D20" s="182">
        <f t="shared" si="0"/>
        <v>7.6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113665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80528.94</v>
      </c>
      <c r="D27" s="182">
        <f t="shared" si="0"/>
        <v>3.4</v>
      </c>
    </row>
    <row r="28" spans="1:4" x14ac:dyDescent="0.2">
      <c r="B28" s="187" t="s">
        <v>754</v>
      </c>
      <c r="C28" s="180">
        <f>SUM(C10:C27)</f>
        <v>2358092.94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38928</v>
      </c>
    </row>
    <row r="30" spans="1:4" x14ac:dyDescent="0.2">
      <c r="B30" s="187" t="s">
        <v>760</v>
      </c>
      <c r="C30" s="180">
        <f>SUM(C28:C29)</f>
        <v>2397020.94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1291490</v>
      </c>
      <c r="D35" s="182">
        <f t="shared" ref="D35:D40" si="1">ROUND((C35/$C$41)*100,1)</f>
        <v>52.9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12250.850000000093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771236</v>
      </c>
      <c r="D37" s="182">
        <f t="shared" si="1"/>
        <v>31.6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198567</v>
      </c>
      <c r="D38" s="182">
        <f t="shared" si="1"/>
        <v>8.1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168704</v>
      </c>
      <c r="D39" s="182">
        <f t="shared" si="1"/>
        <v>6.9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2442247.85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1BF2-DB2C-405B-A1A4-FE6008CD2FC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RUMNEY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2010-11-02T17:38:42Z</cp:lastPrinted>
  <dcterms:created xsi:type="dcterms:W3CDTF">1997-12-04T19:04:30Z</dcterms:created>
  <dcterms:modified xsi:type="dcterms:W3CDTF">2025-01-09T20:25:11Z</dcterms:modified>
</cp:coreProperties>
</file>