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4ED0A62-8396-47CE-929C-837500CE9A79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369067B7-A2C3-43D9-83B6-157428BC20C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37" i="1"/>
  <c r="C13" i="12"/>
  <c r="B10" i="12"/>
  <c r="B12" i="12"/>
  <c r="B11" i="12"/>
  <c r="H572" i="1"/>
  <c r="G225" i="1"/>
  <c r="G239" i="1" s="1"/>
  <c r="F225" i="1"/>
  <c r="F239" i="1" s="1"/>
  <c r="G207" i="1"/>
  <c r="G221" i="1" s="1"/>
  <c r="F207" i="1"/>
  <c r="G189" i="1"/>
  <c r="F189" i="1"/>
  <c r="H189" i="1"/>
  <c r="I207" i="1"/>
  <c r="H207" i="1"/>
  <c r="I225" i="1"/>
  <c r="H226" i="1"/>
  <c r="I227" i="1"/>
  <c r="L227" i="1" s="1"/>
  <c r="I210" i="1"/>
  <c r="I221" i="1" s="1"/>
  <c r="L210" i="1"/>
  <c r="C13" i="10" s="1"/>
  <c r="I228" i="1"/>
  <c r="I231" i="1"/>
  <c r="I232" i="1"/>
  <c r="H232" i="1"/>
  <c r="I214" i="1"/>
  <c r="H214" i="1"/>
  <c r="I196" i="1"/>
  <c r="H196" i="1"/>
  <c r="I199" i="1"/>
  <c r="F25" i="1"/>
  <c r="C24" i="2" s="1"/>
  <c r="F30" i="1"/>
  <c r="C29" i="2"/>
  <c r="G603" i="1"/>
  <c r="L603" i="1" s="1"/>
  <c r="H653" i="1" s="1"/>
  <c r="G601" i="1"/>
  <c r="F603" i="1"/>
  <c r="F602" i="1"/>
  <c r="G602" i="1" s="1"/>
  <c r="F601" i="1"/>
  <c r="F572" i="1"/>
  <c r="F569" i="1"/>
  <c r="G554" i="1"/>
  <c r="L554" i="1" s="1"/>
  <c r="G553" i="1"/>
  <c r="L553" i="1" s="1"/>
  <c r="G552" i="1"/>
  <c r="G518" i="1"/>
  <c r="L518" i="1" s="1"/>
  <c r="G541" i="1" s="1"/>
  <c r="G517" i="1"/>
  <c r="L517" i="1" s="1"/>
  <c r="G540" i="1" s="1"/>
  <c r="I516" i="1"/>
  <c r="H516" i="1"/>
  <c r="F517" i="1"/>
  <c r="F516" i="1"/>
  <c r="G516" i="1" s="1"/>
  <c r="G513" i="1"/>
  <c r="F513" i="1"/>
  <c r="G523" i="1"/>
  <c r="G522" i="1"/>
  <c r="F523" i="1"/>
  <c r="F522" i="1"/>
  <c r="F521" i="1"/>
  <c r="G521" i="1" s="1"/>
  <c r="L521" i="1" s="1"/>
  <c r="K513" i="1"/>
  <c r="J513" i="1"/>
  <c r="L513" i="1" s="1"/>
  <c r="F541" i="1" s="1"/>
  <c r="K541" i="1" s="1"/>
  <c r="I513" i="1"/>
  <c r="K512" i="1"/>
  <c r="J512" i="1"/>
  <c r="K511" i="1"/>
  <c r="J594" i="1"/>
  <c r="J595" i="1" s="1"/>
  <c r="H582" i="1"/>
  <c r="K582" i="1" s="1"/>
  <c r="J225" i="1"/>
  <c r="J239" i="1" s="1"/>
  <c r="I189" i="1"/>
  <c r="I203" i="1" s="1"/>
  <c r="I308" i="1"/>
  <c r="I320" i="1" s="1"/>
  <c r="L308" i="1"/>
  <c r="L320" i="1" s="1"/>
  <c r="H41" i="1"/>
  <c r="F23" i="1"/>
  <c r="H12" i="1"/>
  <c r="H13" i="1"/>
  <c r="H24" i="1"/>
  <c r="H235" i="1"/>
  <c r="H217" i="1"/>
  <c r="L214" i="1"/>
  <c r="I213" i="1"/>
  <c r="H200" i="1"/>
  <c r="L200" i="1" s="1"/>
  <c r="H199" i="1"/>
  <c r="L199" i="1" s="1"/>
  <c r="I195" i="1"/>
  <c r="I190" i="1"/>
  <c r="I511" i="1" s="1"/>
  <c r="H210" i="1"/>
  <c r="H231" i="1"/>
  <c r="G231" i="1"/>
  <c r="F231" i="1"/>
  <c r="L231" i="1" s="1"/>
  <c r="I226" i="1"/>
  <c r="H213" i="1"/>
  <c r="G213" i="1"/>
  <c r="F213" i="1"/>
  <c r="I208" i="1"/>
  <c r="I512" i="1" s="1"/>
  <c r="H208" i="1"/>
  <c r="H512" i="1" s="1"/>
  <c r="H195" i="1"/>
  <c r="G195" i="1"/>
  <c r="F195" i="1"/>
  <c r="J190" i="1"/>
  <c r="J511" i="1" s="1"/>
  <c r="H190" i="1"/>
  <c r="I237" i="1"/>
  <c r="L237" i="1" s="1"/>
  <c r="J231" i="1"/>
  <c r="F7" i="13" s="1"/>
  <c r="H360" i="1"/>
  <c r="G360" i="1"/>
  <c r="F360" i="1"/>
  <c r="G89" i="1"/>
  <c r="F489" i="1"/>
  <c r="F488" i="1"/>
  <c r="C19" i="12"/>
  <c r="B19" i="12"/>
  <c r="C28" i="12"/>
  <c r="C31" i="12" s="1"/>
  <c r="B28" i="12"/>
  <c r="B31" i="12" s="1"/>
  <c r="C39" i="12"/>
  <c r="C40" i="12" s="1"/>
  <c r="H311" i="1"/>
  <c r="L311" i="1"/>
  <c r="I269" i="1"/>
  <c r="I273" i="1"/>
  <c r="I292" i="1"/>
  <c r="I311" i="1"/>
  <c r="H312" i="1"/>
  <c r="H273" i="1"/>
  <c r="H282" i="1"/>
  <c r="F13" i="1"/>
  <c r="C13" i="2" s="1"/>
  <c r="H149" i="1"/>
  <c r="H147" i="1"/>
  <c r="H151" i="1"/>
  <c r="H148" i="1"/>
  <c r="H146" i="1"/>
  <c r="H299" i="1"/>
  <c r="H318" i="1"/>
  <c r="H306" i="1"/>
  <c r="H287" i="1"/>
  <c r="G287" i="1"/>
  <c r="G268" i="1"/>
  <c r="G282" i="1" s="1"/>
  <c r="G330" i="1" s="1"/>
  <c r="G344" i="1" s="1"/>
  <c r="G269" i="1"/>
  <c r="F269" i="1"/>
  <c r="G288" i="1"/>
  <c r="G301" i="1" s="1"/>
  <c r="F288" i="1"/>
  <c r="G292" i="1"/>
  <c r="F292" i="1"/>
  <c r="G312" i="1"/>
  <c r="F312" i="1"/>
  <c r="H352" i="1"/>
  <c r="L352" i="1" s="1"/>
  <c r="H651" i="1" s="1"/>
  <c r="H351" i="1"/>
  <c r="H350" i="1"/>
  <c r="H354" i="1" s="1"/>
  <c r="F102" i="1"/>
  <c r="F103" i="1" s="1"/>
  <c r="H384" i="1"/>
  <c r="L384" i="1"/>
  <c r="H381" i="1"/>
  <c r="L381" i="1" s="1"/>
  <c r="C60" i="2"/>
  <c r="C62" i="2" s="1"/>
  <c r="B2" i="13"/>
  <c r="F8" i="13"/>
  <c r="G8" i="13"/>
  <c r="L196" i="1"/>
  <c r="L232" i="1"/>
  <c r="D39" i="13"/>
  <c r="F13" i="13"/>
  <c r="G13" i="13"/>
  <c r="L198" i="1"/>
  <c r="L216" i="1"/>
  <c r="L234" i="1"/>
  <c r="F16" i="13"/>
  <c r="G16" i="13"/>
  <c r="L201" i="1"/>
  <c r="L219" i="1"/>
  <c r="F6" i="13"/>
  <c r="F12" i="13"/>
  <c r="F14" i="13"/>
  <c r="F15" i="13"/>
  <c r="F17" i="13"/>
  <c r="F18" i="13"/>
  <c r="F19" i="13"/>
  <c r="F29" i="13"/>
  <c r="G5" i="13"/>
  <c r="L191" i="1"/>
  <c r="L192" i="1"/>
  <c r="L209" i="1"/>
  <c r="C12" i="10" s="1"/>
  <c r="L228" i="1"/>
  <c r="G6" i="13"/>
  <c r="L194" i="1"/>
  <c r="L212" i="1"/>
  <c r="L230" i="1"/>
  <c r="G7" i="13"/>
  <c r="L195" i="1"/>
  <c r="G12" i="13"/>
  <c r="L197" i="1"/>
  <c r="C113" i="2" s="1"/>
  <c r="L215" i="1"/>
  <c r="L233" i="1"/>
  <c r="G14" i="13"/>
  <c r="G33" i="13" s="1"/>
  <c r="L217" i="1"/>
  <c r="L235" i="1"/>
  <c r="G15" i="13"/>
  <c r="L218" i="1"/>
  <c r="L236" i="1"/>
  <c r="G641" i="1" s="1"/>
  <c r="J641" i="1" s="1"/>
  <c r="H652" i="1"/>
  <c r="G17" i="13"/>
  <c r="L243" i="1"/>
  <c r="G18" i="13"/>
  <c r="L244" i="1"/>
  <c r="G19" i="13"/>
  <c r="D19" i="13" s="1"/>
  <c r="C19" i="13" s="1"/>
  <c r="L245" i="1"/>
  <c r="G29" i="13"/>
  <c r="L350" i="1"/>
  <c r="L351" i="1"/>
  <c r="F651" i="1" s="1"/>
  <c r="I359" i="1"/>
  <c r="J282" i="1"/>
  <c r="F31" i="13" s="1"/>
  <c r="J301" i="1"/>
  <c r="J320" i="1"/>
  <c r="K282" i="1"/>
  <c r="K301" i="1"/>
  <c r="G31" i="13" s="1"/>
  <c r="K320" i="1"/>
  <c r="L270" i="1"/>
  <c r="L271" i="1"/>
  <c r="E104" i="2" s="1"/>
  <c r="L274" i="1"/>
  <c r="E111" i="2" s="1"/>
  <c r="L275" i="1"/>
  <c r="E112" i="2" s="1"/>
  <c r="L276" i="1"/>
  <c r="E113" i="2" s="1"/>
  <c r="L277" i="1"/>
  <c r="L278" i="1"/>
  <c r="L279" i="1"/>
  <c r="L280" i="1"/>
  <c r="L287" i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L307" i="1"/>
  <c r="L309" i="1"/>
  <c r="L312" i="1"/>
  <c r="L313" i="1"/>
  <c r="L314" i="1"/>
  <c r="L315" i="1"/>
  <c r="E114" i="2"/>
  <c r="L316" i="1"/>
  <c r="L317" i="1"/>
  <c r="L318" i="1"/>
  <c r="L325" i="1"/>
  <c r="L326" i="1"/>
  <c r="L327" i="1"/>
  <c r="L252" i="1"/>
  <c r="L253" i="1"/>
  <c r="L333" i="1"/>
  <c r="L334" i="1"/>
  <c r="L247" i="1"/>
  <c r="L328" i="1"/>
  <c r="C11" i="13"/>
  <c r="C10" i="13"/>
  <c r="C9" i="13"/>
  <c r="L353" i="1"/>
  <c r="B4" i="12"/>
  <c r="B36" i="12"/>
  <c r="C36" i="12"/>
  <c r="B40" i="12"/>
  <c r="B27" i="12"/>
  <c r="C27" i="12"/>
  <c r="B13" i="12"/>
  <c r="B22" i="12"/>
  <c r="C18" i="12"/>
  <c r="C22" i="12"/>
  <c r="B1" i="12"/>
  <c r="L379" i="1"/>
  <c r="L380" i="1"/>
  <c r="L382" i="1"/>
  <c r="L383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3" i="2"/>
  <c r="G54" i="2"/>
  <c r="F2" i="11"/>
  <c r="L601" i="1"/>
  <c r="F653" i="1"/>
  <c r="C40" i="10"/>
  <c r="F52" i="1"/>
  <c r="G52" i="1"/>
  <c r="G104" i="1" s="1"/>
  <c r="H52" i="1"/>
  <c r="H104" i="1" s="1"/>
  <c r="I52" i="1"/>
  <c r="F71" i="1"/>
  <c r="F86" i="1"/>
  <c r="G103" i="1"/>
  <c r="H71" i="1"/>
  <c r="E49" i="2" s="1"/>
  <c r="E54" i="2" s="1"/>
  <c r="H86" i="1"/>
  <c r="E50" i="2"/>
  <c r="H103" i="1"/>
  <c r="I103" i="1"/>
  <c r="I104" i="1" s="1"/>
  <c r="J103" i="1"/>
  <c r="C37" i="10"/>
  <c r="F113" i="1"/>
  <c r="F128" i="1"/>
  <c r="F132" i="1"/>
  <c r="G113" i="1"/>
  <c r="G132" i="1" s="1"/>
  <c r="C38" i="10" s="1"/>
  <c r="G128" i="1"/>
  <c r="H113" i="1"/>
  <c r="H128" i="1"/>
  <c r="H132" i="1"/>
  <c r="I113" i="1"/>
  <c r="I132" i="1" s="1"/>
  <c r="I128" i="1"/>
  <c r="J113" i="1"/>
  <c r="J128" i="1"/>
  <c r="J132" i="1" s="1"/>
  <c r="F139" i="1"/>
  <c r="C77" i="2" s="1"/>
  <c r="C83" i="2" s="1"/>
  <c r="F154" i="1"/>
  <c r="F161" i="1"/>
  <c r="G139" i="1"/>
  <c r="G154" i="1"/>
  <c r="G161" i="1"/>
  <c r="H139" i="1"/>
  <c r="I139" i="1"/>
  <c r="I154" i="1"/>
  <c r="I161" i="1"/>
  <c r="L242" i="1"/>
  <c r="C23" i="10"/>
  <c r="L324" i="1"/>
  <c r="L246" i="1"/>
  <c r="L260" i="1"/>
  <c r="C26" i="10" s="1"/>
  <c r="L261" i="1"/>
  <c r="L341" i="1"/>
  <c r="E134" i="2" s="1"/>
  <c r="L342" i="1"/>
  <c r="E135" i="2" s="1"/>
  <c r="I655" i="1"/>
  <c r="I660" i="1"/>
  <c r="G652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22" i="1"/>
  <c r="H540" i="1" s="1"/>
  <c r="L523" i="1"/>
  <c r="H541" i="1"/>
  <c r="L526" i="1"/>
  <c r="L529" i="1" s="1"/>
  <c r="L527" i="1"/>
  <c r="I540" i="1" s="1"/>
  <c r="L528" i="1"/>
  <c r="L531" i="1"/>
  <c r="J539" i="1" s="1"/>
  <c r="L532" i="1"/>
  <c r="J540" i="1"/>
  <c r="L533" i="1"/>
  <c r="L534" i="1" s="1"/>
  <c r="J541" i="1"/>
  <c r="J542" i="1" s="1"/>
  <c r="E124" i="2"/>
  <c r="K262" i="1"/>
  <c r="L262" i="1" s="1"/>
  <c r="J262" i="1"/>
  <c r="I262" i="1"/>
  <c r="H262" i="1"/>
  <c r="G262" i="1"/>
  <c r="F262" i="1"/>
  <c r="C123" i="2"/>
  <c r="A1" i="2"/>
  <c r="A2" i="2"/>
  <c r="C9" i="2"/>
  <c r="D9" i="2"/>
  <c r="D19" i="2" s="1"/>
  <c r="E9" i="2"/>
  <c r="E19" i="2" s="1"/>
  <c r="F9" i="2"/>
  <c r="I431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F13" i="2"/>
  <c r="F14" i="2"/>
  <c r="F15" i="2"/>
  <c r="F16" i="2"/>
  <c r="F17" i="2"/>
  <c r="F18" i="2"/>
  <c r="I433" i="1"/>
  <c r="J12" i="1" s="1"/>
  <c r="G12" i="2" s="1"/>
  <c r="D13" i="2"/>
  <c r="E13" i="2"/>
  <c r="I434" i="1"/>
  <c r="J13" i="1"/>
  <c r="G13" i="2"/>
  <c r="C14" i="2"/>
  <c r="D14" i="2"/>
  <c r="E14" i="2"/>
  <c r="I435" i="1"/>
  <c r="J14" i="1" s="1"/>
  <c r="G14" i="2" s="1"/>
  <c r="C16" i="2"/>
  <c r="D16" i="2"/>
  <c r="E16" i="2"/>
  <c r="C17" i="2"/>
  <c r="D17" i="2"/>
  <c r="E17" i="2"/>
  <c r="I436" i="1"/>
  <c r="J17" i="1"/>
  <c r="G17" i="2" s="1"/>
  <c r="C18" i="2"/>
  <c r="D18" i="2"/>
  <c r="E18" i="2"/>
  <c r="I437" i="1"/>
  <c r="J18" i="1"/>
  <c r="G18" i="2" s="1"/>
  <c r="C22" i="2"/>
  <c r="D22" i="2"/>
  <c r="D23" i="2"/>
  <c r="D24" i="2"/>
  <c r="D25" i="2"/>
  <c r="D28" i="2"/>
  <c r="D29" i="2"/>
  <c r="D30" i="2"/>
  <c r="D31" i="2"/>
  <c r="E22" i="2"/>
  <c r="F22" i="2"/>
  <c r="I440" i="1"/>
  <c r="J23" i="1"/>
  <c r="C23" i="2"/>
  <c r="E23" i="2"/>
  <c r="E32" i="2" s="1"/>
  <c r="F23" i="2"/>
  <c r="F32" i="2" s="1"/>
  <c r="I441" i="1"/>
  <c r="I444" i="1" s="1"/>
  <c r="J24" i="1"/>
  <c r="G23" i="2" s="1"/>
  <c r="G32" i="2" s="1"/>
  <c r="E24" i="2"/>
  <c r="E25" i="2"/>
  <c r="E28" i="2"/>
  <c r="E29" i="2"/>
  <c r="E30" i="2"/>
  <c r="E31" i="2"/>
  <c r="E34" i="2"/>
  <c r="E35" i="2"/>
  <c r="E36" i="2"/>
  <c r="E37" i="2"/>
  <c r="E38" i="2"/>
  <c r="E40" i="2"/>
  <c r="E41" i="2"/>
  <c r="F24" i="2"/>
  <c r="I442" i="1"/>
  <c r="J25" i="1"/>
  <c r="G24" i="2"/>
  <c r="C25" i="2"/>
  <c r="F25" i="2"/>
  <c r="C26" i="2"/>
  <c r="F26" i="2"/>
  <c r="C27" i="2"/>
  <c r="F27" i="2"/>
  <c r="C28" i="2"/>
  <c r="F28" i="2"/>
  <c r="F29" i="2"/>
  <c r="C30" i="2"/>
  <c r="F30" i="2"/>
  <c r="C31" i="2"/>
  <c r="F31" i="2"/>
  <c r="I443" i="1"/>
  <c r="J32" i="1" s="1"/>
  <c r="G31" i="2" s="1"/>
  <c r="C34" i="2"/>
  <c r="D34" i="2"/>
  <c r="F34" i="2"/>
  <c r="C35" i="2"/>
  <c r="D35" i="2"/>
  <c r="D42" i="2" s="1"/>
  <c r="F35" i="2"/>
  <c r="C36" i="2"/>
  <c r="C42" i="2" s="1"/>
  <c r="D36" i="2"/>
  <c r="F36" i="2"/>
  <c r="I446" i="1"/>
  <c r="C37" i="2"/>
  <c r="D37" i="2"/>
  <c r="F37" i="2"/>
  <c r="I447" i="1"/>
  <c r="J38" i="1"/>
  <c r="G37" i="2"/>
  <c r="C38" i="2"/>
  <c r="D38" i="2"/>
  <c r="F38" i="2"/>
  <c r="I448" i="1"/>
  <c r="J40" i="1"/>
  <c r="G39" i="2" s="1"/>
  <c r="C40" i="2"/>
  <c r="D40" i="2"/>
  <c r="F40" i="2"/>
  <c r="I449" i="1"/>
  <c r="J41" i="1"/>
  <c r="C41" i="2"/>
  <c r="D41" i="2"/>
  <c r="F41" i="2"/>
  <c r="C48" i="2"/>
  <c r="D48" i="2"/>
  <c r="E48" i="2"/>
  <c r="F48" i="2"/>
  <c r="C50" i="2"/>
  <c r="C51" i="2"/>
  <c r="D51" i="2"/>
  <c r="E51" i="2"/>
  <c r="F51" i="2"/>
  <c r="D52" i="2"/>
  <c r="C53" i="2"/>
  <c r="C54" i="2" s="1"/>
  <c r="D53" i="2"/>
  <c r="D54" i="2" s="1"/>
  <c r="D55" i="2" s="1"/>
  <c r="E53" i="2"/>
  <c r="F53" i="2"/>
  <c r="F54" i="2" s="1"/>
  <c r="F55" i="2" s="1"/>
  <c r="C58" i="2"/>
  <c r="C59" i="2"/>
  <c r="C61" i="2"/>
  <c r="C71" i="2"/>
  <c r="C72" i="2"/>
  <c r="C64" i="2"/>
  <c r="C65" i="2"/>
  <c r="C66" i="2"/>
  <c r="C67" i="2"/>
  <c r="C68" i="2"/>
  <c r="C69" i="2"/>
  <c r="C49" i="2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D61" i="2"/>
  <c r="D62" i="2" s="1"/>
  <c r="E61" i="2"/>
  <c r="E62" i="2"/>
  <c r="F61" i="2"/>
  <c r="F62" i="2" s="1"/>
  <c r="G61" i="2"/>
  <c r="G62" i="2"/>
  <c r="F64" i="2"/>
  <c r="F65" i="2"/>
  <c r="E68" i="2"/>
  <c r="E70" i="2" s="1"/>
  <c r="E73" i="2" s="1"/>
  <c r="F68" i="2"/>
  <c r="D69" i="2"/>
  <c r="D70" i="2" s="1"/>
  <c r="D73" i="2" s="1"/>
  <c r="D71" i="2"/>
  <c r="E69" i="2"/>
  <c r="F69" i="2"/>
  <c r="G69" i="2"/>
  <c r="G70" i="2" s="1"/>
  <c r="G73" i="2" s="1"/>
  <c r="E71" i="2"/>
  <c r="E72" i="2"/>
  <c r="D77" i="2"/>
  <c r="D83" i="2" s="1"/>
  <c r="E77" i="2"/>
  <c r="F77" i="2"/>
  <c r="F83" i="2" s="1"/>
  <c r="E79" i="2"/>
  <c r="F79" i="2"/>
  <c r="F80" i="2"/>
  <c r="F81" i="2"/>
  <c r="D80" i="2"/>
  <c r="E81" i="2"/>
  <c r="D81" i="2"/>
  <c r="F85" i="2"/>
  <c r="F86" i="2"/>
  <c r="F88" i="2"/>
  <c r="F89" i="2"/>
  <c r="F91" i="2"/>
  <c r="F92" i="2"/>
  <c r="F93" i="2"/>
  <c r="F94" i="2"/>
  <c r="F70" i="2"/>
  <c r="D88" i="2"/>
  <c r="D89" i="2"/>
  <c r="D90" i="2"/>
  <c r="D91" i="2"/>
  <c r="D92" i="2"/>
  <c r="D93" i="2"/>
  <c r="D94" i="2"/>
  <c r="D95" i="2"/>
  <c r="E88" i="2"/>
  <c r="G88" i="2"/>
  <c r="E89" i="2"/>
  <c r="G89" i="2"/>
  <c r="G90" i="2"/>
  <c r="E90" i="2"/>
  <c r="E91" i="2"/>
  <c r="E92" i="2"/>
  <c r="E93" i="2"/>
  <c r="E94" i="2"/>
  <c r="C105" i="2"/>
  <c r="E105" i="2"/>
  <c r="E106" i="2"/>
  <c r="D107" i="2"/>
  <c r="F107" i="2"/>
  <c r="G107" i="2"/>
  <c r="E115" i="2"/>
  <c r="E116" i="2"/>
  <c r="E117" i="2"/>
  <c r="F120" i="2"/>
  <c r="G120" i="2"/>
  <c r="E122" i="2"/>
  <c r="D126" i="2"/>
  <c r="D136" i="2"/>
  <c r="E126" i="2"/>
  <c r="F126" i="2"/>
  <c r="K411" i="1"/>
  <c r="K419" i="1"/>
  <c r="K425" i="1"/>
  <c r="L255" i="1"/>
  <c r="C127" i="2" s="1"/>
  <c r="L256" i="1"/>
  <c r="C128" i="2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B153" i="2"/>
  <c r="C153" i="2"/>
  <c r="D153" i="2"/>
  <c r="E153" i="2"/>
  <c r="G490" i="1"/>
  <c r="H490" i="1"/>
  <c r="I490" i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F493" i="1"/>
  <c r="K493" i="1" s="1"/>
  <c r="B156" i="2"/>
  <c r="C156" i="2"/>
  <c r="D156" i="2"/>
  <c r="E156" i="2"/>
  <c r="F156" i="2"/>
  <c r="G493" i="1"/>
  <c r="H493" i="1"/>
  <c r="I493" i="1"/>
  <c r="J493" i="1"/>
  <c r="G19" i="1"/>
  <c r="G608" i="1"/>
  <c r="H19" i="1"/>
  <c r="G609" i="1" s="1"/>
  <c r="I19" i="1"/>
  <c r="G610" i="1" s="1"/>
  <c r="G33" i="1"/>
  <c r="H33" i="1"/>
  <c r="H44" i="1"/>
  <c r="H609" i="1"/>
  <c r="J609" i="1"/>
  <c r="I33" i="1"/>
  <c r="F43" i="1"/>
  <c r="G612" i="1"/>
  <c r="G43" i="1"/>
  <c r="G613" i="1" s="1"/>
  <c r="H43" i="1"/>
  <c r="I43" i="1"/>
  <c r="G615" i="1"/>
  <c r="F169" i="1"/>
  <c r="I169" i="1"/>
  <c r="I184" i="1" s="1"/>
  <c r="F175" i="1"/>
  <c r="G175" i="1"/>
  <c r="G184" i="1" s="1"/>
  <c r="H175" i="1"/>
  <c r="H184" i="1" s="1"/>
  <c r="I175" i="1"/>
  <c r="J175" i="1"/>
  <c r="F180" i="1"/>
  <c r="G180" i="1"/>
  <c r="H180" i="1"/>
  <c r="I180" i="1"/>
  <c r="J184" i="1"/>
  <c r="F203" i="1"/>
  <c r="K203" i="1"/>
  <c r="H221" i="1"/>
  <c r="J221" i="1"/>
  <c r="K221" i="1"/>
  <c r="K249" i="1" s="1"/>
  <c r="K263" i="1" s="1"/>
  <c r="H239" i="1"/>
  <c r="K239" i="1"/>
  <c r="F248" i="1"/>
  <c r="G248" i="1"/>
  <c r="H248" i="1"/>
  <c r="I248" i="1"/>
  <c r="J248" i="1"/>
  <c r="K248" i="1"/>
  <c r="I282" i="1"/>
  <c r="H301" i="1"/>
  <c r="I301" i="1"/>
  <c r="F320" i="1"/>
  <c r="G320" i="1"/>
  <c r="H320" i="1"/>
  <c r="F329" i="1"/>
  <c r="G329" i="1"/>
  <c r="H329" i="1"/>
  <c r="I329" i="1"/>
  <c r="J329" i="1"/>
  <c r="K329" i="1"/>
  <c r="K330" i="1"/>
  <c r="K344" i="1"/>
  <c r="F354" i="1"/>
  <c r="G354" i="1"/>
  <c r="I354" i="1"/>
  <c r="G624" i="1" s="1"/>
  <c r="J354" i="1"/>
  <c r="K354" i="1"/>
  <c r="F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/>
  <c r="F393" i="1"/>
  <c r="G393" i="1"/>
  <c r="H393" i="1"/>
  <c r="I393" i="1"/>
  <c r="F399" i="1"/>
  <c r="G399" i="1"/>
  <c r="G400" i="1" s="1"/>
  <c r="H635" i="1" s="1"/>
  <c r="H399" i="1"/>
  <c r="I399" i="1"/>
  <c r="F400" i="1"/>
  <c r="H633" i="1" s="1"/>
  <c r="L405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J426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F425" i="1"/>
  <c r="G425" i="1"/>
  <c r="H425" i="1"/>
  <c r="I425" i="1"/>
  <c r="J425" i="1"/>
  <c r="I426" i="1"/>
  <c r="F438" i="1"/>
  <c r="G629" i="1" s="1"/>
  <c r="J629" i="1" s="1"/>
  <c r="G438" i="1"/>
  <c r="G630" i="1"/>
  <c r="J630" i="1" s="1"/>
  <c r="H438" i="1"/>
  <c r="G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J631" i="1"/>
  <c r="I460" i="1"/>
  <c r="J460" i="1"/>
  <c r="I464" i="1"/>
  <c r="I466" i="1"/>
  <c r="H615" i="1"/>
  <c r="J615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H519" i="1"/>
  <c r="I519" i="1"/>
  <c r="J519" i="1"/>
  <c r="K519" i="1"/>
  <c r="F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H561" i="1" s="1"/>
  <c r="I550" i="1"/>
  <c r="I561" i="1" s="1"/>
  <c r="J550" i="1"/>
  <c r="J561" i="1" s="1"/>
  <c r="K550" i="1"/>
  <c r="F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3" i="1"/>
  <c r="K594" i="1"/>
  <c r="H595" i="1"/>
  <c r="I595" i="1"/>
  <c r="F604" i="1"/>
  <c r="H604" i="1"/>
  <c r="I604" i="1"/>
  <c r="J604" i="1"/>
  <c r="K604" i="1"/>
  <c r="G614" i="1"/>
  <c r="H620" i="1"/>
  <c r="H621" i="1"/>
  <c r="H626" i="1"/>
  <c r="H627" i="1"/>
  <c r="H628" i="1"/>
  <c r="G633" i="1"/>
  <c r="J633" i="1"/>
  <c r="G634" i="1"/>
  <c r="G635" i="1"/>
  <c r="G640" i="1"/>
  <c r="J640" i="1" s="1"/>
  <c r="G642" i="1"/>
  <c r="J642" i="1" s="1"/>
  <c r="H642" i="1"/>
  <c r="G643" i="1"/>
  <c r="H643" i="1"/>
  <c r="J643" i="1" s="1"/>
  <c r="G644" i="1"/>
  <c r="H644" i="1"/>
  <c r="J644" i="1"/>
  <c r="G645" i="1"/>
  <c r="J645" i="1" s="1"/>
  <c r="H645" i="1"/>
  <c r="E95" i="2"/>
  <c r="G155" i="2"/>
  <c r="G22" i="2"/>
  <c r="J33" i="1"/>
  <c r="I541" i="1"/>
  <c r="G40" i="2"/>
  <c r="J9" i="1"/>
  <c r="D12" i="13"/>
  <c r="C12" i="13" s="1"/>
  <c r="L343" i="1"/>
  <c r="L329" i="1"/>
  <c r="H330" i="1"/>
  <c r="H344" i="1" s="1"/>
  <c r="L273" i="1"/>
  <c r="I44" i="1"/>
  <c r="H610" i="1" s="1"/>
  <c r="J610" i="1" s="1"/>
  <c r="A31" i="12"/>
  <c r="L248" i="1"/>
  <c r="E8" i="13"/>
  <c r="C8" i="13" s="1"/>
  <c r="C112" i="2"/>
  <c r="C17" i="10"/>
  <c r="C19" i="2"/>
  <c r="F519" i="1"/>
  <c r="H513" i="1"/>
  <c r="D96" i="2" l="1"/>
  <c r="L524" i="1"/>
  <c r="H539" i="1"/>
  <c r="H542" i="1" s="1"/>
  <c r="F96" i="2"/>
  <c r="C20" i="10"/>
  <c r="D14" i="13"/>
  <c r="C14" i="13" s="1"/>
  <c r="G639" i="1"/>
  <c r="J639" i="1" s="1"/>
  <c r="F652" i="1"/>
  <c r="I652" i="1" s="1"/>
  <c r="D15" i="13"/>
  <c r="C15" i="13" s="1"/>
  <c r="C21" i="10"/>
  <c r="C116" i="2"/>
  <c r="J635" i="1"/>
  <c r="C43" i="2"/>
  <c r="L189" i="1"/>
  <c r="G203" i="1"/>
  <c r="G249" i="1" s="1"/>
  <c r="G263" i="1" s="1"/>
  <c r="C9" i="12"/>
  <c r="C18" i="10"/>
  <c r="K561" i="1"/>
  <c r="J466" i="1"/>
  <c r="H616" i="1" s="1"/>
  <c r="C55" i="2"/>
  <c r="F42" i="2"/>
  <c r="F43" i="2" s="1"/>
  <c r="I361" i="1"/>
  <c r="H624" i="1" s="1"/>
  <c r="J624" i="1" s="1"/>
  <c r="I514" i="1"/>
  <c r="I535" i="1" s="1"/>
  <c r="B9" i="12"/>
  <c r="A13" i="12" s="1"/>
  <c r="G524" i="1"/>
  <c r="L225" i="1"/>
  <c r="I330" i="1"/>
  <c r="I344" i="1" s="1"/>
  <c r="D29" i="13"/>
  <c r="C29" i="13" s="1"/>
  <c r="F122" i="2"/>
  <c r="F136" i="2" s="1"/>
  <c r="F137" i="2" s="1"/>
  <c r="L374" i="1"/>
  <c r="G626" i="1" s="1"/>
  <c r="J626" i="1" s="1"/>
  <c r="G651" i="1"/>
  <c r="I651" i="1" s="1"/>
  <c r="G148" i="2"/>
  <c r="F95" i="2"/>
  <c r="C70" i="2"/>
  <c r="C73" i="2" s="1"/>
  <c r="G55" i="2"/>
  <c r="G96" i="2" s="1"/>
  <c r="C32" i="10"/>
  <c r="E123" i="2"/>
  <c r="E136" i="2" s="1"/>
  <c r="E120" i="2"/>
  <c r="C104" i="2"/>
  <c r="G361" i="1"/>
  <c r="I360" i="1"/>
  <c r="K588" i="1"/>
  <c r="G637" i="1" s="1"/>
  <c r="J637" i="1" s="1"/>
  <c r="L207" i="1"/>
  <c r="E103" i="2"/>
  <c r="K595" i="1"/>
  <c r="G638" i="1" s="1"/>
  <c r="C115" i="2"/>
  <c r="E42" i="2"/>
  <c r="E43" i="2" s="1"/>
  <c r="C32" i="2"/>
  <c r="D32" i="2"/>
  <c r="J185" i="1"/>
  <c r="C25" i="10"/>
  <c r="C124" i="2"/>
  <c r="H25" i="13"/>
  <c r="D18" i="13"/>
  <c r="C18" i="13" s="1"/>
  <c r="C103" i="2"/>
  <c r="G511" i="1"/>
  <c r="G514" i="1" s="1"/>
  <c r="G535" i="1" s="1"/>
  <c r="D43" i="2"/>
  <c r="C15" i="10"/>
  <c r="C110" i="2"/>
  <c r="D6" i="13"/>
  <c r="C6" i="13" s="1"/>
  <c r="L354" i="1"/>
  <c r="G153" i="2"/>
  <c r="G151" i="2"/>
  <c r="E83" i="2"/>
  <c r="C122" i="2"/>
  <c r="F22" i="13"/>
  <c r="C22" i="13" s="1"/>
  <c r="C29" i="10"/>
  <c r="J19" i="1"/>
  <c r="G611" i="1" s="1"/>
  <c r="L213" i="1"/>
  <c r="F184" i="1"/>
  <c r="G154" i="2"/>
  <c r="K426" i="1"/>
  <c r="G126" i="2" s="1"/>
  <c r="G136" i="2" s="1"/>
  <c r="G137" i="2" s="1"/>
  <c r="I438" i="1"/>
  <c r="G632" i="1" s="1"/>
  <c r="G185" i="1"/>
  <c r="L288" i="1"/>
  <c r="L301" i="1" s="1"/>
  <c r="I239" i="1"/>
  <c r="I249" i="1" s="1"/>
  <c r="I263" i="1" s="1"/>
  <c r="L226" i="1"/>
  <c r="G512" i="1"/>
  <c r="L552" i="1"/>
  <c r="L555" i="1" s="1"/>
  <c r="L561" i="1" s="1"/>
  <c r="G555" i="1"/>
  <c r="G561" i="1" s="1"/>
  <c r="L411" i="1"/>
  <c r="G156" i="2"/>
  <c r="F73" i="2"/>
  <c r="J37" i="1"/>
  <c r="I450" i="1"/>
  <c r="I451" i="1" s="1"/>
  <c r="H632" i="1" s="1"/>
  <c r="F19" i="2"/>
  <c r="C35" i="10"/>
  <c r="A40" i="12"/>
  <c r="C24" i="10"/>
  <c r="D17" i="13"/>
  <c r="C17" i="13" s="1"/>
  <c r="C106" i="2"/>
  <c r="H154" i="1"/>
  <c r="H161" i="1" s="1"/>
  <c r="H185" i="1" s="1"/>
  <c r="E80" i="2"/>
  <c r="C117" i="2"/>
  <c r="E16" i="13"/>
  <c r="C16" i="13" s="1"/>
  <c r="L419" i="1"/>
  <c r="G95" i="2"/>
  <c r="I185" i="1"/>
  <c r="G620" i="1" s="1"/>
  <c r="J620" i="1" s="1"/>
  <c r="F104" i="1"/>
  <c r="F185" i="1" s="1"/>
  <c r="F511" i="1"/>
  <c r="F282" i="1"/>
  <c r="F330" i="1" s="1"/>
  <c r="F344" i="1" s="1"/>
  <c r="L269" i="1"/>
  <c r="E102" i="2" s="1"/>
  <c r="B18" i="12"/>
  <c r="A22" i="12" s="1"/>
  <c r="H203" i="1"/>
  <c r="H249" i="1" s="1"/>
  <c r="H263" i="1" s="1"/>
  <c r="K514" i="1"/>
  <c r="K535" i="1" s="1"/>
  <c r="H637" i="1"/>
  <c r="H400" i="1"/>
  <c r="H634" i="1" s="1"/>
  <c r="J634" i="1" s="1"/>
  <c r="E55" i="2"/>
  <c r="I539" i="1"/>
  <c r="I542" i="1" s="1"/>
  <c r="L385" i="1"/>
  <c r="C19" i="10"/>
  <c r="C114" i="2"/>
  <c r="E13" i="13"/>
  <c r="C13" i="13" s="1"/>
  <c r="J514" i="1"/>
  <c r="J535" i="1" s="1"/>
  <c r="G519" i="1"/>
  <c r="L602" i="1"/>
  <c r="G604" i="1"/>
  <c r="F512" i="1"/>
  <c r="F33" i="1"/>
  <c r="F44" i="1" s="1"/>
  <c r="H607" i="1" s="1"/>
  <c r="F221" i="1"/>
  <c r="F249" i="1" s="1"/>
  <c r="F263" i="1" s="1"/>
  <c r="F301" i="1"/>
  <c r="F19" i="1"/>
  <c r="G607" i="1" s="1"/>
  <c r="L268" i="1"/>
  <c r="H511" i="1"/>
  <c r="H514" i="1" s="1"/>
  <c r="H535" i="1" s="1"/>
  <c r="J330" i="1"/>
  <c r="J344" i="1" s="1"/>
  <c r="L516" i="1"/>
  <c r="D119" i="2"/>
  <c r="D120" i="2" s="1"/>
  <c r="D137" i="2" s="1"/>
  <c r="J203" i="1"/>
  <c r="J249" i="1" s="1"/>
  <c r="F5" i="13"/>
  <c r="G9" i="2"/>
  <c r="G19" i="2" s="1"/>
  <c r="L190" i="1"/>
  <c r="G44" i="1"/>
  <c r="H608" i="1" s="1"/>
  <c r="J608" i="1" s="1"/>
  <c r="L208" i="1"/>
  <c r="G619" i="1" l="1"/>
  <c r="H458" i="1"/>
  <c r="H33" i="13"/>
  <c r="C25" i="13"/>
  <c r="E33" i="13"/>
  <c r="D35" i="13" s="1"/>
  <c r="L519" i="1"/>
  <c r="G539" i="1"/>
  <c r="G542" i="1" s="1"/>
  <c r="L426" i="1"/>
  <c r="G628" i="1" s="1"/>
  <c r="J628" i="1" s="1"/>
  <c r="C120" i="2"/>
  <c r="L203" i="1"/>
  <c r="C101" i="2"/>
  <c r="C10" i="10"/>
  <c r="J607" i="1"/>
  <c r="F458" i="1"/>
  <c r="G617" i="1"/>
  <c r="C36" i="10"/>
  <c r="C16" i="10"/>
  <c r="D7" i="13"/>
  <c r="C7" i="13" s="1"/>
  <c r="C111" i="2"/>
  <c r="C130" i="2"/>
  <c r="C133" i="2" s="1"/>
  <c r="L400" i="1"/>
  <c r="L221" i="1"/>
  <c r="G650" i="1" s="1"/>
  <c r="C102" i="2"/>
  <c r="C11" i="10"/>
  <c r="E96" i="2"/>
  <c r="L282" i="1"/>
  <c r="E101" i="2"/>
  <c r="E107" i="2" s="1"/>
  <c r="E137" i="2" s="1"/>
  <c r="L511" i="1"/>
  <c r="F514" i="1"/>
  <c r="F535" i="1" s="1"/>
  <c r="C96" i="2"/>
  <c r="L512" i="1"/>
  <c r="F540" i="1" s="1"/>
  <c r="K540" i="1" s="1"/>
  <c r="G618" i="1"/>
  <c r="G458" i="1"/>
  <c r="F33" i="13"/>
  <c r="D5" i="13"/>
  <c r="G36" i="2"/>
  <c r="G42" i="2" s="1"/>
  <c r="G43" i="2" s="1"/>
  <c r="J43" i="1"/>
  <c r="J632" i="1"/>
  <c r="G462" i="1"/>
  <c r="G625" i="1"/>
  <c r="C27" i="10"/>
  <c r="G636" i="1"/>
  <c r="G621" i="1"/>
  <c r="J621" i="1" s="1"/>
  <c r="H638" i="1"/>
  <c r="J638" i="1" s="1"/>
  <c r="J263" i="1"/>
  <c r="G653" i="1"/>
  <c r="I653" i="1" s="1"/>
  <c r="L604" i="1"/>
  <c r="C39" i="10"/>
  <c r="L239" i="1"/>
  <c r="H650" i="1" s="1"/>
  <c r="H654" i="1" s="1"/>
  <c r="C5" i="13" l="1"/>
  <c r="L330" i="1"/>
  <c r="L344" i="1" s="1"/>
  <c r="D31" i="13"/>
  <c r="C31" i="13" s="1"/>
  <c r="C41" i="10"/>
  <c r="D11" i="10"/>
  <c r="D27" i="10"/>
  <c r="G627" i="1"/>
  <c r="J627" i="1" s="1"/>
  <c r="H636" i="1"/>
  <c r="J636" i="1" s="1"/>
  <c r="F460" i="1"/>
  <c r="H617" i="1"/>
  <c r="D10" i="10"/>
  <c r="C28" i="10"/>
  <c r="J617" i="1"/>
  <c r="H625" i="1"/>
  <c r="J625" i="1" s="1"/>
  <c r="G464" i="1"/>
  <c r="F539" i="1"/>
  <c r="L514" i="1"/>
  <c r="L535" i="1" s="1"/>
  <c r="C107" i="2"/>
  <c r="F650" i="1"/>
  <c r="L249" i="1"/>
  <c r="L263" i="1" s="1"/>
  <c r="H619" i="1"/>
  <c r="J619" i="1" s="1"/>
  <c r="H460" i="1"/>
  <c r="G460" i="1"/>
  <c r="H618" i="1"/>
  <c r="J618" i="1" s="1"/>
  <c r="G654" i="1"/>
  <c r="H662" i="1"/>
  <c r="C6" i="10" s="1"/>
  <c r="H657" i="1"/>
  <c r="G616" i="1"/>
  <c r="J44" i="1"/>
  <c r="H611" i="1" s="1"/>
  <c r="J611" i="1" s="1"/>
  <c r="C136" i="2"/>
  <c r="D16" i="10"/>
  <c r="C137" i="2" l="1"/>
  <c r="G623" i="1"/>
  <c r="H462" i="1"/>
  <c r="G662" i="1"/>
  <c r="C5" i="10" s="1"/>
  <c r="G657" i="1"/>
  <c r="D37" i="10"/>
  <c r="D38" i="10"/>
  <c r="D40" i="10"/>
  <c r="D35" i="10"/>
  <c r="D41" i="10" s="1"/>
  <c r="G466" i="1"/>
  <c r="H613" i="1" s="1"/>
  <c r="J613" i="1" s="1"/>
  <c r="D22" i="10"/>
  <c r="D17" i="10"/>
  <c r="C30" i="10"/>
  <c r="D23" i="10"/>
  <c r="D13" i="10"/>
  <c r="D26" i="10"/>
  <c r="D12" i="10"/>
  <c r="D28" i="10" s="1"/>
  <c r="D19" i="10"/>
  <c r="D18" i="10"/>
  <c r="D21" i="10"/>
  <c r="D24" i="10"/>
  <c r="D20" i="10"/>
  <c r="D15" i="10"/>
  <c r="D25" i="10"/>
  <c r="K539" i="1"/>
  <c r="K542" i="1" s="1"/>
  <c r="F542" i="1"/>
  <c r="D33" i="13"/>
  <c r="D36" i="13" s="1"/>
  <c r="F462" i="1"/>
  <c r="G622" i="1"/>
  <c r="D39" i="10"/>
  <c r="J616" i="1"/>
  <c r="F654" i="1"/>
  <c r="I650" i="1"/>
  <c r="I654" i="1" s="1"/>
  <c r="D36" i="10"/>
  <c r="H464" i="1" l="1"/>
  <c r="H466" i="1" s="1"/>
  <c r="H614" i="1" s="1"/>
  <c r="J614" i="1" s="1"/>
  <c r="H623" i="1"/>
  <c r="H622" i="1"/>
  <c r="J622" i="1" s="1"/>
  <c r="F464" i="1"/>
  <c r="F466" i="1" s="1"/>
  <c r="H612" i="1" s="1"/>
  <c r="J612" i="1" s="1"/>
  <c r="J623" i="1"/>
  <c r="F662" i="1"/>
  <c r="C4" i="10" s="1"/>
  <c r="F657" i="1"/>
  <c r="I657" i="1"/>
  <c r="I662" i="1"/>
  <c r="C7" i="10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F57806A-2E0F-46D9-832B-4C0F67B6801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CF96197-E019-4217-9682-2A994ACF2E4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BFC8500-B0EF-42B6-A59D-5BFF1FA5282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8E90B27-B1A9-44AC-9CD6-90410ED4798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CDEB49A-615A-47A2-BBE0-E4770943FFF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3498B98-311F-4DB3-BCC9-998F238CAD7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2D98BE0-74DD-4016-A78D-5EF8127F1FB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2AAA529-36D9-48D2-BD43-336D03BA387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B581160-E9D6-490C-9385-372F86507B8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CDB9E4A-D2C3-4BF1-B4E0-B1011F059F7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0FD3585-782E-46BF-B694-E1A152C2337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B222C2F-2099-40FA-9544-174B8DA6AE4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<sst xmlns="http://schemas.openxmlformats.org/spreadsheetml/2006/main" count="3863" uniqueCount="900">
  <si>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</si>
  <si>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</si>
  <si>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</si>
  <si>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</si>
  <si>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</si>
  <si>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</si>
  <si>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</si>
  <si>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</si>
  <si>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</si>
  <si>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</si>
  <si>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</si>
  <si>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</si>
  <si>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</si>
  <si>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</si>
  <si>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</si>
  <si>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</si>
  <si>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</si>
  <si>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</si>
  <si>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</si>
  <si>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</si>
  <si>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</si>
  <si>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</si>
  <si>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</si>
  <si>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</si>
  <si>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</si>
  <si>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</si>
  <si>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</si>
  <si>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</si>
  <si>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</si>
  <si>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</si>
  <si>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</si>
  <si>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</si>
  <si>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</si>
  <si>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</si>
  <si>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</si>
  <si>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</si>
  <si>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</si>
  <si>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</si>
  <si>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</si>
  <si>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</si>
  <si>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</si>
  <si>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</si>
  <si>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</si>
  <si>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</si>
  <si>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</si>
  <si>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</si>
  <si>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</si>
  <si>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</si>
  <si>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</si>
  <si>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</si>
  <si>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</si>
  <si>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</si>
  <si>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</si>
  <si>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</si>
  <si>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</si>
  <si>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</si>
  <si>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</si>
  <si>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</si>
  <si>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</si>
  <si>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</si>
  <si>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</si>
  <si>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</si>
  <si>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</si>
  <si>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</si>
  <si>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</si>
  <si>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</si>
  <si>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</si>
  <si>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</si>
  <si>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</si>
  <si>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</si>
  <si>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</si>
  <si>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</si>
  <si>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</si>
  <si>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</si>
  <si>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</si>
  <si>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</si>
  <si>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</si>
  <si>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</si>
  <si>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</si>
  <si>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</si>
  <si>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</si>
  <si>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</si>
  <si>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</si>
  <si>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</si>
  <si>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</si>
  <si>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</si>
  <si>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</si>
  <si>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</si>
  <si>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</si>
  <si>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</si>
  <si>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</si>
  <si>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</si>
  <si>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</si>
  <si>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</si>
  <si>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</si>
  <si>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</si>
  <si>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</si>
  <si>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</si>
  <si>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</si>
  <si>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</si>
  <si>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</si>
  <si>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</si>
  <si>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</si>
  <si>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</si>
  <si>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</si>
  <si>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</si>
  <si>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</si>
  <si>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</si>
  <si>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</si>
  <si>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</si>
  <si>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</si>
  <si>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</si>
  <si>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</si>
  <si>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</si>
  <si>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</si>
  <si>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</si>
  <si>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</si>
  <si>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</si>
  <si>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</si>
  <si>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</si>
  <si>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</si>
  <si>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</si>
  <si>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</si>
  <si>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</si>
  <si>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</si>
  <si>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</si>
  <si>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</si>
  <si>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</si>
  <si>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</si>
  <si>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</si>
  <si>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</si>
  <si>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</si>
  <si>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</si>
  <si>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</si>
  <si>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</si>
  <si>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</si>
  <si>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</si>
  <si>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</si>
  <si>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</si>
  <si>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</si>
  <si>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</si>
  <si>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</si>
  <si>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</si>
  <si>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</si>
  <si>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</si>
  <si>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</si>
  <si>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</si>
  <si>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</si>
  <si>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</si>
  <si>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</si>
  <si>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</si>
  <si>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</si>
  <si>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</si>
  <si>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</si>
  <si>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</si>
  <si>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</si>
  <si>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</si>
  <si>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</si>
  <si>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</si>
  <si>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</si>
  <si>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</si>
  <si>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</si>
  <si>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</si>
  <si>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</si>
  <si>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</si>
  <si>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</si>
  <si>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</si>
  <si>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</si>
  <si>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</si>
  <si>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</si>
  <si>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</si>
  <si>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</si>
  <si>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</si>
  <si>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</si>
  <si>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</si>
  <si>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</si>
  <si>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</si>
  <si>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</si>
  <si>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</si>
  <si>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</si>
  <si>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</si>
  <si>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</si>
  <si>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</si>
  <si>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</si>
  <si>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</si>
  <si>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</si>
  <si>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</si>
  <si>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</si>
  <si>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</si>
  <si>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</si>
  <si>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</si>
  <si>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</si>
  <si>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</si>
  <si>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</si>
  <si>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</si>
  <si>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</si>
  <si>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</si>
  <si>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</si>
  <si>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</si>
  <si>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</si>
  <si>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</si>
  <si>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</si>
  <si>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</si>
  <si>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</si>
  <si>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</si>
  <si>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</si>
  <si>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</si>
  <si>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</si>
  <si>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</si>
  <si>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</si>
  <si>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</si>
  <si>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</si>
  <si>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</si>
  <si>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</si>
  <si>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</si>
  <si>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</si>
  <si>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</si>
  <si>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</si>
  <si>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</si>
  <si>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</si>
  <si>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</si>
  <si>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</si>
  <si>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</si>
  <si>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</si>
  <si>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</si>
  <si>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</si>
  <si>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</si>
  <si>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</si>
  <si>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</si>
  <si>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</si>
  <si>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</si>
  <si>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</si>
  <si>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</si>
  <si>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</si>
  <si>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</si>
  <si>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</si>
  <si>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</si>
  <si>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</si>
  <si>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</si>
  <si>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</si>
  <si>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</si>
  <si>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</si>
  <si>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</si>
  <si>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</si>
  <si>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</si>
  <si>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</si>
  <si>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</si>
  <si>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</si>
  <si>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</si>
  <si>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</si>
  <si>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</si>
  <si>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</si>
  <si>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</si>
  <si>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</si>
  <si>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</si>
  <si>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</si>
  <si>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</si>
  <si>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</si>
  <si>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</si>
  <si>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</si>
  <si>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</si>
  <si>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</si>
  <si>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</si>
  <si>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</si>
  <si>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</si>
  <si>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</si>
  <si>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</si>
  <si>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</si>
  <si>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</si>
  <si>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</si>
  <si>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</si>
  <si>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</si>
  <si>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</si>
  <si>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</si>
  <si>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</si>
  <si>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</si>
  <si>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</si>
  <si>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</si>
  <si>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</si>
  <si>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</si>
  <si>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</si>
  <si>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</si>
  <si>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</si>
  <si>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</si>
  <si>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</si>
  <si>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</si>
  <si>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</si>
  <si>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</si>
  <si>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</si>
  <si>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</si>
  <si>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</si>
  <si>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</si>
  <si>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</si>
  <si>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</si>
  <si>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</si>
  <si>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</si>
  <si>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</si>
  <si>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</si>
  <si>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</si>
  <si>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</si>
  <si>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</si>
  <si>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</si>
  <si>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</si>
  <si>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</si>
  <si>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</si>
  <si>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</si>
  <si>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</si>
  <si>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</si>
  <si>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</si>
  <si>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</si>
  <si>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</si>
  <si>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</si>
  <si>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</si>
  <si>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</si>
  <si>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</si>
  <si>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</si>
  <si>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</si>
  <si>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</si>
  <si>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</si>
  <si>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</si>
  <si>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</si>
  <si>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</si>
  <si>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</si>
  <si>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</si>
  <si>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</si>
  <si>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</si>
  <si>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</si>
  <si>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</si>
  <si>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</si>
  <si>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</si>
  <si>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</si>
  <si>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</si>
  <si>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</si>
  <si>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</si>
  <si>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</si>
  <si>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</si>
  <si>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</si>
  <si>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</si>
  <si>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</si>
  <si>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</si>
  <si>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</si>
  <si>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</si>
  <si>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</si>
  <si>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</si>
  <si>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</si>
  <si>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</si>
  <si>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</si>
  <si>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</si>
  <si>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</si>
  <si>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</si>
  <si>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</si>
  <si>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</si>
  <si>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</si>
  <si>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</si>
  <si>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</si>
  <si>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</si>
  <si>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</si>
  <si>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</si>
  <si>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</si>
  <si>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</si>
  <si>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</si>
  <si>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</si>
  <si>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</si>
  <si>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</si>
  <si>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</si>
  <si>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</si>
  <si>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</si>
  <si>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</si>
  <si>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</si>
  <si>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</si>
  <si>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</si>
  <si>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</si>
  <si>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</si>
  <si>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</si>
  <si>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</si>
  <si>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</si>
  <si>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</si>
  <si>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</si>
  <si>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</si>
  <si>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</si>
  <si>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</si>
  <si>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</si>
  <si>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</si>
  <si>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</si>
  <si>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</si>
  <si>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</si>
  <si>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</si>
  <si>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</si>
  <si>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</si>
  <si>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</si>
  <si>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</si>
  <si>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</si>
  <si>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</si>
  <si>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</si>
  <si>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</si>
  <si>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</si>
  <si>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</si>
  <si>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</si>
  <si>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</si>
  <si>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</si>
  <si>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</si>
  <si>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</si>
  <si>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</si>
  <si>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</si>
  <si>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</si>
  <si>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</si>
  <si>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</si>
  <si>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</si>
  <si>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</si>
  <si>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</si>
  <si>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</si>
  <si>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</si>
  <si>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</si>
  <si>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</si>
  <si>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</si>
  <si>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</si>
  <si>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</si>
  <si>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</si>
  <si>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</si>
  <si>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</si>
  <si>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</si>
  <si>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</si>
  <si>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</si>
  <si>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</si>
  <si>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</si>
  <si>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</si>
  <si>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</si>
  <si>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</si>
  <si>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</si>
  <si>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</si>
  <si>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</si>
  <si>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</si>
  <si>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</si>
  <si>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</si>
  <si>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</si>
  <si>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</si>
  <si>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</si>
  <si>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</si>
  <si>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</si>
  <si>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</si>
  <si>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</si>
  <si>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</si>
  <si>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</si>
  <si>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</si>
  <si>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</si>
  <si>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</si>
  <si>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</si>
  <si>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</si>
  <si>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</si>
  <si>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</si>
  <si>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</si>
  <si>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</si>
  <si>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</si>
  <si>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</si>
  <si>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</si>
  <si>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</si>
  <si>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</si>
  <si>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</si>
  <si>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</si>
  <si>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</si>
  <si>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</si>
  <si>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</si>
  <si>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</si>
  <si>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</si>
  <si>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</si>
  <si>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</si>
  <si>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</si>
  <si>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</si>
  <si>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</si>
  <si>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</si>
  <si>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</si>
  <si>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</si>
  <si>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</si>
  <si>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</si>
  <si>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</si>
  <si>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</si>
  <si>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</si>
  <si>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</si>
  <si>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</si>
  <si>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</si>
  <si>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</si>
  <si>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</si>
  <si>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</si>
  <si>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</si>
  <si>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</si>
  <si>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</si>
  <si>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</si>
  <si>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</si>
  <si>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</si>
  <si>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</si>
  <si>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</si>
  <si>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</si>
  <si>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</si>
  <si>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</si>
  <si>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</si>
  <si>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</si>
  <si>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</si>
  <si>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</si>
  <si>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</si>
  <si>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</si>
  <si>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</si>
  <si>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</si>
  <si>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</si>
  <si>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</si>
  <si>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</si>
  <si>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</si>
  <si>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</si>
  <si>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</si>
  <si>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</si>
  <si>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</si>
  <si>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</si>
  <si>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</si>
  <si>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</si>
  <si>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</si>
  <si>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</si>
  <si>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</si>
  <si>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</si>
  <si>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</si>
  <si>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</si>
  <si>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</si>
  <si>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</si>
  <si>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</si>
  <si>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</si>
  <si>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</si>
  <si>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</si>
  <si>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</si>
  <si>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</si>
  <si>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</si>
  <si>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</si>
  <si>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</si>
  <si>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</si>
  <si>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</si>
  <si>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</si>
  <si>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</si>
  <si>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</si>
  <si>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</si>
  <si>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</si>
  <si>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</si>
  <si>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</si>
  <si>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</si>
  <si>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</si>
  <si>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</si>
  <si>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</si>
  <si>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</si>
  <si>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</si>
  <si>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</si>
  <si>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</si>
  <si>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</si>
  <si>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</si>
  <si>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</si>
  <si>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</si>
  <si>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</si>
  <si>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</si>
  <si>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</si>
  <si>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</si>
  <si>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</si>
  <si>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</si>
  <si>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</si>
  <si>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</si>
  <si>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</si>
  <si>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</si>
  <si>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</si>
  <si>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</si>
  <si>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</si>
  <si>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</si>
  <si>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</si>
  <si>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</si>
  <si>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</si>
  <si>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</si>
  <si>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</si>
  <si>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</si>
  <si>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</si>
  <si>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</si>
  <si>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</si>
  <si>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</si>
  <si>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</si>
  <si>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</si>
  <si>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</si>
  <si>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</si>
  <si>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</si>
  <si>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</si>
  <si>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</si>
  <si>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</si>
  <si>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</si>
  <si>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</si>
  <si>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</si>
  <si>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</si>
  <si>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</si>
  <si>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</si>
  <si>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</si>
  <si>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</si>
  <si>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</si>
  <si>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</si>
  <si>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</si>
  <si>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</si>
  <si>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</si>
  <si>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</si>
  <si>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</si>
  <si>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</si>
  <si>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</si>
  <si>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</si>
  <si>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</si>
  <si>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</si>
  <si>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</si>
  <si>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</si>
  <si>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</si>
  <si>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</si>
  <si>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</si>
  <si>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</si>
  <si>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</si>
  <si>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</si>
  <si>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</si>
  <si>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</si>
  <si>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</si>
  <si>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</si>
  <si>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</si>
  <si>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</si>
  <si>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</si>
  <si>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</si>
  <si>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</si>
  <si>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</si>
  <si>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</si>
  <si>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</si>
  <si>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</si>
  <si>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</si>
  <si>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</si>
  <si>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</si>
  <si>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</si>
  <si>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</si>
  <si>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</si>
  <si>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</si>
  <si>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</si>
  <si>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</si>
  <si>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</si>
  <si>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</si>
  <si>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</si>
  <si>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</si>
  <si>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</si>
  <si>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</si>
  <si>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</si>
  <si>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</si>
  <si>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</si>
  <si>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</si>
  <si>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</si>
  <si>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</si>
  <si>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</si>
  <si>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</si>
  <si>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</si>
  <si>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</si>
  <si>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</si>
  <si>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</si>
  <si>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</si>
  <si>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</si>
  <si>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</si>
  <si>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</si>
  <si>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</si>
  <si>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</si>
  <si>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</si>
  <si>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</si>
  <si>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</si>
  <si>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</si>
  <si>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</si>
  <si>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</si>
  <si>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</si>
  <si>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</si>
  <si>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</si>
  <si>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</si>
  <si>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</si>
  <si>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</si>
  <si>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</si>
  <si>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</si>
  <si>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</si>
  <si>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</si>
  <si>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</si>
  <si>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</si>
  <si>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</si>
  <si>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</si>
  <si>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</si>
  <si>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</si>
  <si>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</si>
  <si>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</si>
  <si>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</si>
  <si>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</si>
  <si>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</si>
  <si>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</si>
  <si>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</si>
  <si>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</si>
  <si>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</si>
  <si>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</si>
  <si>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</si>
  <si>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</si>
  <si>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</si>
  <si>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</si>
  <si>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</si>
  <si>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</si>
  <si>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</si>
  <si>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</si>
  <si>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</si>
  <si>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</si>
  <si>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</si>
  <si>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</si>
  <si>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</si>
  <si>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</si>
  <si>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</si>
  <si>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</si>
  <si>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</si>
  <si>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</si>
  <si>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</si>
  <si>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</si>
  <si>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</si>
  <si>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</si>
  <si>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</si>
  <si>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</si>
  <si>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</si>
  <si>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</si>
  <si>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</si>
  <si>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</si>
  <si>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</si>
  <si>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</si>
  <si>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</si>
  <si>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</si>
  <si>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</si>
  <si>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</si>
  <si>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</si>
  <si>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</si>
  <si>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</si>
  <si>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</si>
  <si>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</si>
  <si>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</si>
  <si>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</si>
  <si>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</si>
  <si>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</si>
  <si>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</si>
  <si>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</si>
  <si>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</si>
  <si>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</si>
  <si>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</si>
  <si>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</si>
  <si>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</si>
  <si>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</si>
  <si>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</si>
  <si>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</si>
  <si>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</si>
  <si>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</si>
  <si>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</si>
  <si>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</si>
  <si>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</si>
  <si>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</si>
  <si>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</si>
  <si>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</si>
  <si>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</si>
  <si>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</si>
  <si>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</si>
  <si>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</si>
  <si>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</si>
  <si>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</si>
  <si>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</si>
  <si>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</si>
  <si>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</si>
  <si>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</si>
  <si>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</si>
  <si>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</si>
  <si>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</si>
  <si>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</si>
  <si>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</si>
  <si>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</si>
  <si>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</si>
  <si>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</si>
  <si>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</si>
  <si>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</si>
  <si>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</si>
  <si>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</si>
  <si>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</si>
  <si>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</si>
  <si>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</si>
  <si>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</si>
  <si>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</si>
  <si>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</si>
  <si>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</si>
  <si>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</si>
  <si>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</si>
  <si>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</si>
  <si>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</si>
  <si>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</si>
  <si>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</si>
  <si>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</si>
  <si>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</si>
  <si>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</si>
  <si>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</si>
  <si>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</si>
  <si>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</si>
  <si>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</si>
  <si>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</si>
  <si>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</si>
  <si>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</si>
  <si>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</si>
  <si>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</si>
  <si>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</si>
  <si>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</si>
  <si>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</si>
  <si>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</si>
  <si>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</si>
  <si>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</si>
  <si>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</si>
  <si>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</si>
  <si>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</si>
  <si>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</si>
  <si>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</si>
  <si>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</si>
  <si>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</si>
  <si>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</si>
  <si>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</si>
  <si>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</si>
  <si>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</si>
  <si>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</si>
  <si>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</si>
  <si>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</si>
  <si>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</si>
  <si>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</si>
  <si>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</si>
  <si>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</si>
  <si>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</si>
  <si>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</si>
  <si>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</si>
  <si>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</si>
  <si>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</si>
  <si>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</si>
  <si>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</si>
  <si>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</si>
  <si>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</si>
  <si>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</si>
  <si>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</si>
  <si>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</si>
  <si>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</si>
  <si>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</si>
  <si>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</si>
  <si>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</si>
  <si>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</si>
  <si>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</si>
  <si>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</si>
  <si>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</si>
  <si>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</si>
  <si>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</si>
  <si>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</si>
  <si>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</si>
  <si>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</si>
  <si>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</si>
  <si>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</si>
  <si>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</si>
  <si>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</si>
  <si>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</si>
  <si>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</si>
  <si>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</si>
  <si>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</si>
  <si>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</si>
  <si>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</si>
  <si>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</si>
  <si>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</si>
  <si>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</si>
  <si>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</si>
  <si>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</si>
  <si>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</si>
  <si>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</si>
  <si>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</si>
  <si>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</si>
  <si>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</si>
  <si>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</si>
  <si>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</si>
  <si>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</si>
  <si>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</si>
  <si>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</si>
  <si>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</si>
  <si>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</si>
  <si>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</si>
  <si>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</si>
  <si>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</si>
  <si>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</si>
  <si>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</si>
  <si>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</si>
  <si>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</si>
  <si>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</si>
  <si>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</si>
  <si>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</si>
  <si>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</si>
  <si>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</si>
  <si>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</si>
  <si>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</si>
  <si>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</si>
  <si>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</si>
  <si>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</si>
  <si>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</si>
  <si>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</si>
  <si>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</si>
  <si>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</si>
  <si>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7/95</t>
  </si>
  <si>
    <t>8/15</t>
  </si>
  <si>
    <t>Cap Fund - Deferred revenue for 7/1/10 Bond</t>
  </si>
  <si>
    <t>Salem SD</t>
  </si>
  <si>
    <t>Impact fees collected by school district</t>
  </si>
  <si>
    <t>General Fund - ARRA IDEA funds $425,760.86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</si>
</sst>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C89-92A9-47EB-AE5F-BA433065FA3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473</v>
      </c>
      <c r="C2" s="21">
        <v>473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2395816.66</v>
      </c>
      <c r="G9" s="18">
        <v>59179.99</v>
      </c>
      <c r="H9" s="18"/>
      <c r="I9" s="18">
        <v>14506398.460000001</v>
      </c>
      <c r="J9" s="67">
        <f>SUM(I431)</f>
        <v>119042.51999999999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286029.95</v>
      </c>
      <c r="H12" s="18">
        <f>30662.51+79628.68+137146.31</f>
        <v>247437.5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126460.63+425.78</f>
        <v>126886.41</v>
      </c>
      <c r="G13" s="18">
        <v>27842</v>
      </c>
      <c r="H13" s="18">
        <f>2874.45+867.3+1+1835.07</f>
        <v>5577.82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37489.42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2560192.4900000002</v>
      </c>
      <c r="G19" s="41">
        <f>SUM(G9:G18)</f>
        <v>373051.94</v>
      </c>
      <c r="H19" s="41">
        <f>SUM(H9:H18)</f>
        <v>253015.32</v>
      </c>
      <c r="I19" s="41">
        <f>SUM(I9:I18)</f>
        <v>14506398.460000001</v>
      </c>
      <c r="J19" s="41">
        <f>SUM(J9:J18)</f>
        <v>119042.51999999999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286029.95+110291.19+137146.31</f>
        <v>533467.44999999995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f>4019.11+1000+30816.94+11796.91+7957.52+20417.18+5141.98+3000</f>
        <v>84149.64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541059.45+9732.33</f>
        <v>550791.77999999991</v>
      </c>
      <c r="G25" s="18">
        <v>2471.7800000000002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169848.49+5494.33+9850+753.53</f>
        <v>185946.34999999998</v>
      </c>
      <c r="G30" s="18">
        <v>2646.1</v>
      </c>
      <c r="H30" s="18">
        <v>1056.8599999999999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>
        <v>14506398.460000001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1270205.58</v>
      </c>
      <c r="G33" s="41">
        <f>SUM(G23:G32)</f>
        <v>5117.88</v>
      </c>
      <c r="H33" s="41">
        <f>SUM(H23:H32)</f>
        <v>85206.5</v>
      </c>
      <c r="I33" s="41">
        <f>SUM(I23:I32)</f>
        <v>14506398.460000001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42449.19+6620+5200</f>
        <v>54269.19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66632.58</v>
      </c>
      <c r="G41" s="18">
        <v>367934.06</v>
      </c>
      <c r="H41" s="18">
        <f>30662.51+137146.31</f>
        <v>167808.82</v>
      </c>
      <c r="I41" s="18"/>
      <c r="J41" s="13">
        <f>SUM(I449)</f>
        <v>119042.51999999999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1180905.14-6620-5200</f>
        <v>1169085.1399999999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1289986.9099999999</v>
      </c>
      <c r="G43" s="41">
        <f>SUM(G35:G42)</f>
        <v>367934.06</v>
      </c>
      <c r="H43" s="41">
        <f>SUM(H35:H42)</f>
        <v>167808.82</v>
      </c>
      <c r="I43" s="41">
        <f>SUM(I35:I42)</f>
        <v>0</v>
      </c>
      <c r="J43" s="41">
        <f>SUM(J35:J42)</f>
        <v>119042.51999999999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2560192.4900000002</v>
      </c>
      <c r="G44" s="41">
        <f>G43+G33</f>
        <v>373051.94</v>
      </c>
      <c r="H44" s="41">
        <f>H43+H33</f>
        <v>253015.32</v>
      </c>
      <c r="I44" s="41">
        <f>I43+I33</f>
        <v>14506398.460000001</v>
      </c>
      <c r="J44" s="41">
        <f>J43+J33</f>
        <v>119042.51999999999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28872900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287591.56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29160491.559999999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17920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29721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89000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76500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3164902.88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78735.16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54900.76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39000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3550679.8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3392.26</v>
      </c>
      <c r="G88" s="18">
        <v>2246.0500000000002</v>
      </c>
      <c r="H88" s="18"/>
      <c r="I88" s="18"/>
      <c r="J88" s="18">
        <v>133.82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1414646.58-5.9</f>
        <v>1414640.6800000002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4274.37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32679.73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2408.61</v>
      </c>
      <c r="G94" s="18"/>
      <c r="H94" s="18">
        <v>55334.38</v>
      </c>
      <c r="I94" s="18"/>
      <c r="J94" s="18">
        <v>25106.61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9.7+91040.5</f>
        <v>91050.2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129530.79999999999</v>
      </c>
      <c r="G103" s="41">
        <f>SUM(G88:G102)</f>
        <v>1416886.7300000002</v>
      </c>
      <c r="H103" s="41">
        <f>SUM(H88:H102)</f>
        <v>59608.75</v>
      </c>
      <c r="I103" s="41">
        <f>SUM(I88:I102)</f>
        <v>0</v>
      </c>
      <c r="J103" s="41">
        <f>SUM(J88:J102)</f>
        <v>25240.43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32840702.16</v>
      </c>
      <c r="G104" s="41">
        <f>G52+G103</f>
        <v>1416886.7300000002</v>
      </c>
      <c r="H104" s="41">
        <f>H52+H71+H86+H103</f>
        <v>59608.75</v>
      </c>
      <c r="I104" s="41">
        <f>I52+I103</f>
        <v>0</v>
      </c>
      <c r="J104" s="41">
        <f>J52+J103</f>
        <v>25240.43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3842915.17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9760335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1474407.83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15077658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146458.32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760183.17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363975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2147766.84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122983.62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3163.36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27842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19200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3563730.31</v>
      </c>
      <c r="G128" s="41">
        <f>SUM(G115:G127)</f>
        <v>27842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18641388.309999999</v>
      </c>
      <c r="G132" s="41">
        <f>G113+SUM(G128:G129)</f>
        <v>27842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56491.9</v>
      </c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18359.74+310374.45</f>
        <v>328734.19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132322.25+13935.07+17888.89+17672.32-593.75</f>
        <v>181224.78000000003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114103.09+130342.48+17993.32</f>
        <v>262438.89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111882.82+47987.02</f>
        <v>159869.84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400217.27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425760.86</v>
      </c>
      <c r="G151" s="24" t="s">
        <v>312</v>
      </c>
      <c r="H151" s="18">
        <f>10280.89+855867.3+15601+7337.42-488.33</f>
        <v>888598.28000000014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531805.84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1014058.6</v>
      </c>
      <c r="G154" s="41">
        <f>SUM(G142:G153)</f>
        <v>400217.27</v>
      </c>
      <c r="H154" s="41">
        <f>SUM(H142:H153)</f>
        <v>1820865.9800000002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1014058.6</v>
      </c>
      <c r="G161" s="41">
        <f>G139+G154+SUM(G155:G160)</f>
        <v>400217.27</v>
      </c>
      <c r="H161" s="41">
        <f>H139+H154+SUM(H155:H160)</f>
        <v>1820865.9800000002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14506160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>
        <v>238.46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14506398.460000001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8720.7900000000009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8720.7900000000009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8720.7900000000009</v>
      </c>
      <c r="G184" s="41">
        <f>G175+SUM(G180:G183)</f>
        <v>0</v>
      </c>
      <c r="H184" s="41">
        <f>+H175+SUM(H180:H183)</f>
        <v>0</v>
      </c>
      <c r="I184" s="41">
        <f>I169+I175+SUM(I180:I183)</f>
        <v>14506398.460000001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52504869.859999999</v>
      </c>
      <c r="G185" s="47">
        <f>G104+G132+G161+G184</f>
        <v>1844946.0000000002</v>
      </c>
      <c r="H185" s="47">
        <f>H104+H132+H161+H184</f>
        <v>1880474.7300000002</v>
      </c>
      <c r="I185" s="47">
        <f>I104+I132+I161+I184</f>
        <v>14506398.460000001</v>
      </c>
      <c r="J185" s="47">
        <f>J104+J132+J184</f>
        <v>25240.43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6540545.89+99429.4+146+4250</f>
        <v>6644371.29</v>
      </c>
      <c r="G189" s="18">
        <f>2169951.21+7606.38+1597.63+11.17+0.01+325.13</f>
        <v>2179491.5299999993</v>
      </c>
      <c r="H189" s="18">
        <f>1406.44</f>
        <v>1406.44</v>
      </c>
      <c r="I189" s="18">
        <f>301134.27+2091.52+268.61</f>
        <v>303494.40000000002</v>
      </c>
      <c r="J189" s="18">
        <v>206870.57</v>
      </c>
      <c r="K189" s="18">
        <v>135</v>
      </c>
      <c r="L189" s="19">
        <f>SUM(F189:K189)</f>
        <v>9335769.2300000004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2387913.37</v>
      </c>
      <c r="G190" s="18">
        <v>683635.61</v>
      </c>
      <c r="H190" s="18">
        <f>1015836.2+15744.45</f>
        <v>1031580.6499999999</v>
      </c>
      <c r="I190" s="18">
        <f>15635.25+4863.34+338.94</f>
        <v>20837.53</v>
      </c>
      <c r="J190" s="18">
        <f>776.63+11073.74</f>
        <v>11850.369999999999</v>
      </c>
      <c r="K190" s="18">
        <v>512.76</v>
      </c>
      <c r="L190" s="19">
        <f>SUM(F190:K190)</f>
        <v>4136330.2899999996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12864.72</v>
      </c>
      <c r="G192" s="18">
        <v>1014.77</v>
      </c>
      <c r="H192" s="18"/>
      <c r="I192" s="18"/>
      <c r="J192" s="18"/>
      <c r="K192" s="18"/>
      <c r="L192" s="19">
        <f>SUM(F192:K192)</f>
        <v>13879.49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1330632.05</v>
      </c>
      <c r="G194" s="18">
        <v>436127.98</v>
      </c>
      <c r="H194" s="18">
        <v>30099.29</v>
      </c>
      <c r="I194" s="18">
        <v>16627.3</v>
      </c>
      <c r="J194" s="18"/>
      <c r="K194" s="18"/>
      <c r="L194" s="19">
        <f t="shared" ref="L194:L200" si="0">SUM(F194:K194)</f>
        <v>1813486.62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351585.84+2704.79</f>
        <v>354290.63</v>
      </c>
      <c r="G195" s="18">
        <f>89489.25+333.43</f>
        <v>89822.68</v>
      </c>
      <c r="H195" s="18">
        <f>18396.86+3527.73</f>
        <v>21924.59</v>
      </c>
      <c r="I195" s="18">
        <f>76915.77+24891.76+1968.19</f>
        <v>103775.72</v>
      </c>
      <c r="J195" s="18">
        <v>106275.19</v>
      </c>
      <c r="K195" s="18">
        <v>136</v>
      </c>
      <c r="L195" s="19">
        <f t="shared" si="0"/>
        <v>676224.81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158780.99</v>
      </c>
      <c r="G196" s="18">
        <v>58867.94</v>
      </c>
      <c r="H196" s="18">
        <f>26022.77+340.3+471.11</f>
        <v>26834.18</v>
      </c>
      <c r="I196" s="18">
        <f>4752.39+36.38</f>
        <v>4788.7700000000004</v>
      </c>
      <c r="J196" s="18"/>
      <c r="K196" s="18">
        <v>4825.34</v>
      </c>
      <c r="L196" s="19">
        <f t="shared" si="0"/>
        <v>254097.21999999997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672232.97</v>
      </c>
      <c r="G197" s="18">
        <v>254529.07</v>
      </c>
      <c r="H197" s="18">
        <v>76548.62</v>
      </c>
      <c r="I197" s="18">
        <v>11447.14</v>
      </c>
      <c r="J197" s="18"/>
      <c r="K197" s="18">
        <v>2245</v>
      </c>
      <c r="L197" s="19">
        <f t="shared" si="0"/>
        <v>1017002.8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73112.149999999994</v>
      </c>
      <c r="G198" s="18">
        <v>26276.18</v>
      </c>
      <c r="H198" s="18">
        <v>5140.82</v>
      </c>
      <c r="I198" s="18"/>
      <c r="J198" s="18"/>
      <c r="K198" s="18"/>
      <c r="L198" s="19">
        <f t="shared" si="0"/>
        <v>104529.15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446759.74</v>
      </c>
      <c r="G199" s="18">
        <v>149442.35</v>
      </c>
      <c r="H199" s="18">
        <f>708119.5+11099.78</f>
        <v>719219.28</v>
      </c>
      <c r="I199" s="18">
        <f>393050.11+956.75</f>
        <v>394006.86</v>
      </c>
      <c r="J199" s="18">
        <v>8887.75</v>
      </c>
      <c r="K199" s="18"/>
      <c r="L199" s="19">
        <f t="shared" si="0"/>
        <v>1718315.98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759046.6+356.4</f>
        <v>759403</v>
      </c>
      <c r="I200" s="18"/>
      <c r="J200" s="18"/>
      <c r="K200" s="18"/>
      <c r="L200" s="19">
        <f t="shared" si="0"/>
        <v>759403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12873.09</v>
      </c>
      <c r="G201" s="18">
        <v>4637.45</v>
      </c>
      <c r="H201" s="18">
        <v>14161.35</v>
      </c>
      <c r="I201" s="18">
        <v>3892.04</v>
      </c>
      <c r="J201" s="18"/>
      <c r="K201" s="18"/>
      <c r="L201" s="19">
        <f>SUM(F201:K201)</f>
        <v>35563.93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12093831.000000004</v>
      </c>
      <c r="G203" s="41">
        <f t="shared" si="1"/>
        <v>3883845.5599999996</v>
      </c>
      <c r="H203" s="41">
        <f t="shared" si="1"/>
        <v>2686318.22</v>
      </c>
      <c r="I203" s="41">
        <f t="shared" si="1"/>
        <v>858869.76000000013</v>
      </c>
      <c r="J203" s="41">
        <f t="shared" si="1"/>
        <v>333883.88</v>
      </c>
      <c r="K203" s="41">
        <f t="shared" si="1"/>
        <v>7854.1</v>
      </c>
      <c r="L203" s="41">
        <f t="shared" si="1"/>
        <v>19864602.52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3608662.23+850</f>
        <v>3609512.23</v>
      </c>
      <c r="G207" s="18">
        <f>1219427.77+1084.33+65.02</f>
        <v>1220577.1200000001</v>
      </c>
      <c r="H207" s="18">
        <f>1087.29+228</f>
        <v>1315.29</v>
      </c>
      <c r="I207" s="18">
        <f>142142.81+826.06</f>
        <v>142968.87</v>
      </c>
      <c r="J207" s="18">
        <v>13510.12</v>
      </c>
      <c r="K207" s="18"/>
      <c r="L207" s="19">
        <f>SUM(F207:K207)</f>
        <v>4987883.63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1086005.8600000001</v>
      </c>
      <c r="G208" s="18">
        <v>339430.23</v>
      </c>
      <c r="H208" s="18">
        <f>72057.62+10685.93</f>
        <v>82743.549999999988</v>
      </c>
      <c r="I208" s="18">
        <f>7755.54+2991.01</f>
        <v>10746.55</v>
      </c>
      <c r="J208" s="18">
        <v>7515.87</v>
      </c>
      <c r="K208" s="18">
        <v>348.02</v>
      </c>
      <c r="L208" s="19">
        <f>SUM(F208:K208)</f>
        <v>1526790.0800000003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48667.43</v>
      </c>
      <c r="G210" s="18">
        <v>6830.09</v>
      </c>
      <c r="H210" s="18">
        <f>6594.95+1423.53</f>
        <v>8018.48</v>
      </c>
      <c r="I210" s="18">
        <f>4654.74+652+525.1</f>
        <v>5831.84</v>
      </c>
      <c r="J210" s="18"/>
      <c r="K210" s="18">
        <v>931</v>
      </c>
      <c r="L210" s="19">
        <f>SUM(F210:K210)</f>
        <v>70278.84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386489.99</v>
      </c>
      <c r="G212" s="18">
        <v>127939.03</v>
      </c>
      <c r="H212" s="18">
        <v>18927.400000000001</v>
      </c>
      <c r="I212" s="18">
        <v>10247.200000000001</v>
      </c>
      <c r="J212" s="18"/>
      <c r="K212" s="18"/>
      <c r="L212" s="19">
        <f t="shared" ref="L212:L218" si="2">SUM(F212:K212)</f>
        <v>543603.62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235712.87+1835.77</f>
        <v>237548.63999999998</v>
      </c>
      <c r="G213" s="18">
        <f>76771.24+226.3</f>
        <v>76997.540000000008</v>
      </c>
      <c r="H213" s="18">
        <f>12486.15+2394.31</f>
        <v>14880.46</v>
      </c>
      <c r="I213" s="18">
        <f>41837.7+16894.32+1335.83</f>
        <v>60067.85</v>
      </c>
      <c r="J213" s="18">
        <v>54388.77</v>
      </c>
      <c r="K213" s="18"/>
      <c r="L213" s="19">
        <f t="shared" si="2"/>
        <v>443883.26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107766.44</v>
      </c>
      <c r="G214" s="18">
        <v>39954.33</v>
      </c>
      <c r="H214" s="18">
        <f>17661.95+230.97+315.01</f>
        <v>18207.93</v>
      </c>
      <c r="I214" s="18">
        <f>3225.5+24.32</f>
        <v>3249.82</v>
      </c>
      <c r="J214" s="18"/>
      <c r="K214" s="18">
        <v>3275.01</v>
      </c>
      <c r="L214" s="19">
        <f t="shared" si="2"/>
        <v>172453.53000000003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348646</v>
      </c>
      <c r="G215" s="18">
        <v>132583.96</v>
      </c>
      <c r="H215" s="18">
        <v>55051.08</v>
      </c>
      <c r="I215" s="18">
        <v>10339.379999999999</v>
      </c>
      <c r="J215" s="18"/>
      <c r="K215" s="18">
        <v>833</v>
      </c>
      <c r="L215" s="19">
        <f t="shared" si="2"/>
        <v>547453.41999999993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49622.04</v>
      </c>
      <c r="G216" s="18">
        <v>17833.939999999999</v>
      </c>
      <c r="H216" s="18">
        <v>3489.13</v>
      </c>
      <c r="I216" s="18"/>
      <c r="J216" s="18"/>
      <c r="K216" s="18"/>
      <c r="L216" s="19">
        <f t="shared" si="2"/>
        <v>70945.11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231374.13</v>
      </c>
      <c r="G217" s="18">
        <v>77349.350000000006</v>
      </c>
      <c r="H217" s="18">
        <f>174777.09+7533.54</f>
        <v>182310.63</v>
      </c>
      <c r="I217" s="18">
        <v>189282.68</v>
      </c>
      <c r="J217" s="18">
        <v>19871.439999999999</v>
      </c>
      <c r="K217" s="18"/>
      <c r="L217" s="19">
        <f t="shared" si="2"/>
        <v>700188.23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522617.22</v>
      </c>
      <c r="I218" s="18"/>
      <c r="J218" s="18"/>
      <c r="K218" s="18"/>
      <c r="L218" s="19">
        <f t="shared" si="2"/>
        <v>522617.22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8737.11</v>
      </c>
      <c r="G219" s="18">
        <v>3147.49</v>
      </c>
      <c r="H219" s="18">
        <v>9611.4599999999991</v>
      </c>
      <c r="I219" s="18">
        <v>2641.57</v>
      </c>
      <c r="J219" s="18"/>
      <c r="K219" s="18"/>
      <c r="L219" s="19">
        <f>SUM(F219:K219)</f>
        <v>24137.629999999997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6114369.8700000001</v>
      </c>
      <c r="G221" s="41">
        <f>SUM(G207:G220)</f>
        <v>2042643.0800000003</v>
      </c>
      <c r="H221" s="41">
        <f>SUM(H207:H220)</f>
        <v>917172.62999999989</v>
      </c>
      <c r="I221" s="41">
        <f>SUM(I207:I220)</f>
        <v>435375.76</v>
      </c>
      <c r="J221" s="41">
        <f>SUM(J207:J220)</f>
        <v>95286.2</v>
      </c>
      <c r="K221" s="41">
        <f t="shared" si="3"/>
        <v>5387.0300000000007</v>
      </c>
      <c r="L221" s="41">
        <f t="shared" si="3"/>
        <v>9610234.5700000022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6537776.41-150-675.46+0.01+109086+4750</f>
        <v>6650786.96</v>
      </c>
      <c r="G225" s="18">
        <f>2200341.1+61.24+20010.12+2128.73+0.01+363.38</f>
        <v>2222904.58</v>
      </c>
      <c r="H225" s="18">
        <v>39118.959999999999</v>
      </c>
      <c r="I225" s="18">
        <f>297998.12+1890.58+727.6</f>
        <v>300616.3</v>
      </c>
      <c r="J225" s="18">
        <f>40325.22+1295.13</f>
        <v>41620.35</v>
      </c>
      <c r="K225" s="18">
        <v>125</v>
      </c>
      <c r="L225" s="19">
        <f>SUM(F225:K225)</f>
        <v>9255172.1500000004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1176621.98</v>
      </c>
      <c r="G226" s="18">
        <v>382201.96</v>
      </c>
      <c r="H226" s="18">
        <f>2136968.07+20978.37+1843.75</f>
        <v>2159790.19</v>
      </c>
      <c r="I226" s="18">
        <f>5843.01+5871.87</f>
        <v>11714.880000000001</v>
      </c>
      <c r="J226" s="18">
        <v>14754.99</v>
      </c>
      <c r="K226" s="18">
        <v>683.22</v>
      </c>
      <c r="L226" s="19">
        <f>SUM(F226:K226)</f>
        <v>3745767.22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1139925.3899999999</v>
      </c>
      <c r="G227" s="18">
        <v>365917.91</v>
      </c>
      <c r="H227" s="18">
        <v>32805.14</v>
      </c>
      <c r="I227" s="18">
        <f>98687.24+1088.96+1266.13</f>
        <v>101042.33000000002</v>
      </c>
      <c r="J227" s="18"/>
      <c r="K227" s="18">
        <v>334</v>
      </c>
      <c r="L227" s="19">
        <f>SUM(F227:K227)</f>
        <v>1640024.7699999998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458277.08</v>
      </c>
      <c r="G228" s="18">
        <v>91239.13</v>
      </c>
      <c r="H228" s="18">
        <v>120023.49</v>
      </c>
      <c r="I228" s="18">
        <f>40046.73</f>
        <v>40046.730000000003</v>
      </c>
      <c r="J228" s="18">
        <v>6136.77</v>
      </c>
      <c r="K228" s="18">
        <v>11958</v>
      </c>
      <c r="L228" s="19">
        <f>SUM(F228:K228)</f>
        <v>727681.2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807317.43</v>
      </c>
      <c r="G230" s="18">
        <v>252086.87</v>
      </c>
      <c r="H230" s="18">
        <v>38050.959999999999</v>
      </c>
      <c r="I230" s="18">
        <v>23377.759999999998</v>
      </c>
      <c r="J230" s="18"/>
      <c r="K230" s="18">
        <v>695</v>
      </c>
      <c r="L230" s="19">
        <f t="shared" ref="L230:L236" si="4">SUM(F230:K230)</f>
        <v>1121528.02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339971.03+3603.94</f>
        <v>343574.97000000003</v>
      </c>
      <c r="G231" s="18">
        <f>105642.32+444.27</f>
        <v>106086.59000000001</v>
      </c>
      <c r="H231" s="18">
        <f>26414.03+4700.46</f>
        <v>31114.489999999998</v>
      </c>
      <c r="I231" s="18">
        <f>80747.51+33166.53+2622.48+1844.06</f>
        <v>118380.57999999999</v>
      </c>
      <c r="J231" s="18">
        <f>111477.39+0.01</f>
        <v>111477.4</v>
      </c>
      <c r="K231" s="18"/>
      <c r="L231" s="19">
        <f t="shared" si="4"/>
        <v>710634.03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211564.55</v>
      </c>
      <c r="G232" s="18">
        <v>78437.41</v>
      </c>
      <c r="H232" s="18">
        <f>34673.52+453.43+620.18</f>
        <v>35747.129999999997</v>
      </c>
      <c r="I232" s="18">
        <f>6332.22+47.88</f>
        <v>6380.1</v>
      </c>
      <c r="J232" s="18"/>
      <c r="K232" s="18">
        <v>6429.42</v>
      </c>
      <c r="L232" s="19">
        <f t="shared" si="4"/>
        <v>338558.60999999993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613179.68999999994</v>
      </c>
      <c r="G233" s="18">
        <v>234502.19</v>
      </c>
      <c r="H233" s="18">
        <v>111311.26</v>
      </c>
      <c r="I233" s="18">
        <v>19765.87</v>
      </c>
      <c r="J233" s="18"/>
      <c r="K233" s="18">
        <v>4647</v>
      </c>
      <c r="L233" s="19">
        <f t="shared" si="4"/>
        <v>983406.00999999989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97416.83</v>
      </c>
      <c r="G234" s="18">
        <v>35011.17</v>
      </c>
      <c r="H234" s="18">
        <v>6849.78</v>
      </c>
      <c r="I234" s="18"/>
      <c r="J234" s="18"/>
      <c r="K234" s="18"/>
      <c r="L234" s="19">
        <f t="shared" si="4"/>
        <v>139277.78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595450.99</v>
      </c>
      <c r="G235" s="18">
        <v>202973.98</v>
      </c>
      <c r="H235" s="18">
        <f>360241.8+14789.68+708.75</f>
        <v>375740.23</v>
      </c>
      <c r="I235" s="18">
        <v>506963.37</v>
      </c>
      <c r="J235" s="18">
        <v>7973.33</v>
      </c>
      <c r="K235" s="18"/>
      <c r="L235" s="19">
        <f t="shared" si="4"/>
        <v>1689101.9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1100053.58</v>
      </c>
      <c r="I236" s="18"/>
      <c r="J236" s="18"/>
      <c r="K236" s="18"/>
      <c r="L236" s="19">
        <f t="shared" si="4"/>
        <v>1100053.58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17152.490000000002</v>
      </c>
      <c r="G237" s="18">
        <v>6179.07</v>
      </c>
      <c r="H237" s="18">
        <v>18869</v>
      </c>
      <c r="I237" s="18">
        <f>6158.82+0.01</f>
        <v>6158.83</v>
      </c>
      <c r="J237" s="18"/>
      <c r="K237" s="18"/>
      <c r="L237" s="19">
        <f>SUM(F237:K237)</f>
        <v>48359.39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12111268.360000001</v>
      </c>
      <c r="G239" s="41">
        <f t="shared" si="5"/>
        <v>3977540.86</v>
      </c>
      <c r="H239" s="41">
        <f t="shared" si="5"/>
        <v>4069474.21</v>
      </c>
      <c r="I239" s="41">
        <f t="shared" si="5"/>
        <v>1134446.75</v>
      </c>
      <c r="J239" s="41">
        <f t="shared" si="5"/>
        <v>181962.84</v>
      </c>
      <c r="K239" s="41">
        <f t="shared" si="5"/>
        <v>24871.64</v>
      </c>
      <c r="L239" s="41">
        <f t="shared" si="5"/>
        <v>21499564.660000004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142075.57999999999</v>
      </c>
      <c r="G243" s="18">
        <v>40925.129999999997</v>
      </c>
      <c r="H243" s="18">
        <v>4365.7</v>
      </c>
      <c r="I243" s="18">
        <v>4730.01</v>
      </c>
      <c r="J243" s="18"/>
      <c r="K243" s="18"/>
      <c r="L243" s="19">
        <f t="shared" si="6"/>
        <v>192096.42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1475738.74</v>
      </c>
      <c r="I247" s="18"/>
      <c r="J247" s="18"/>
      <c r="K247" s="18"/>
      <c r="L247" s="19">
        <f t="shared" si="6"/>
        <v>1475738.74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142075.57999999999</v>
      </c>
      <c r="G248" s="41">
        <f t="shared" si="7"/>
        <v>40925.129999999997</v>
      </c>
      <c r="H248" s="41">
        <f t="shared" si="7"/>
        <v>1480104.44</v>
      </c>
      <c r="I248" s="41">
        <f t="shared" si="7"/>
        <v>4730.01</v>
      </c>
      <c r="J248" s="41">
        <f t="shared" si="7"/>
        <v>0</v>
      </c>
      <c r="K248" s="41">
        <f t="shared" si="7"/>
        <v>0</v>
      </c>
      <c r="L248" s="41">
        <f>SUM(F248:K248)</f>
        <v>1667835.16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30461544.810000002</v>
      </c>
      <c r="G249" s="41">
        <f t="shared" si="8"/>
        <v>9944954.6300000008</v>
      </c>
      <c r="H249" s="41">
        <f t="shared" si="8"/>
        <v>9153069.5</v>
      </c>
      <c r="I249" s="41">
        <f t="shared" si="8"/>
        <v>2433422.2799999998</v>
      </c>
      <c r="J249" s="41">
        <f t="shared" si="8"/>
        <v>611132.92000000004</v>
      </c>
      <c r="K249" s="41">
        <f t="shared" si="8"/>
        <v>38112.770000000004</v>
      </c>
      <c r="L249" s="41">
        <f t="shared" si="8"/>
        <v>52642236.910000004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285000</v>
      </c>
      <c r="L252" s="19">
        <f>SUM(F252:K252)</f>
        <v>285000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102600</v>
      </c>
      <c r="L253" s="19">
        <f>SUM(F253:K253)</f>
        <v>102600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387600</v>
      </c>
      <c r="L262" s="41">
        <f t="shared" si="9"/>
        <v>387600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30461544.810000002</v>
      </c>
      <c r="G263" s="42">
        <f t="shared" si="11"/>
        <v>9944954.6300000008</v>
      </c>
      <c r="H263" s="42">
        <f t="shared" si="11"/>
        <v>9153069.5</v>
      </c>
      <c r="I263" s="42">
        <f t="shared" si="11"/>
        <v>2433422.2799999998</v>
      </c>
      <c r="J263" s="42">
        <f t="shared" si="11"/>
        <v>611132.92000000004</v>
      </c>
      <c r="K263" s="42">
        <f t="shared" si="11"/>
        <v>425712.77</v>
      </c>
      <c r="L263" s="42">
        <f t="shared" si="11"/>
        <v>53029836.910000004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9777.39</v>
      </c>
      <c r="G268" s="18">
        <f>1557.21+728.28</f>
        <v>2285.4899999999998</v>
      </c>
      <c r="H268" s="18">
        <v>13452.81</v>
      </c>
      <c r="I268" s="18">
        <v>15023.83</v>
      </c>
      <c r="J268" s="18">
        <v>2000</v>
      </c>
      <c r="K268" s="18"/>
      <c r="L268" s="19">
        <f>SUM(F268:K268)</f>
        <v>42539.519999999997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147432.65+293005.68</f>
        <v>440438.32999999996</v>
      </c>
      <c r="G269" s="18">
        <f>53746.02+21467.23</f>
        <v>75213.25</v>
      </c>
      <c r="H269" s="18">
        <v>649.26</v>
      </c>
      <c r="I269" s="18">
        <f>15039.84+60.25</f>
        <v>15100.09</v>
      </c>
      <c r="J269" s="18"/>
      <c r="K269" s="18"/>
      <c r="L269" s="19">
        <f>SUM(F269:K269)</f>
        <v>531400.92999999993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51326.65</v>
      </c>
      <c r="G273" s="18">
        <v>13076.65</v>
      </c>
      <c r="H273" s="18">
        <f>26242.57+876.37+2837.65</f>
        <v>29956.59</v>
      </c>
      <c r="I273" s="18">
        <f>3052.18*0.3321</f>
        <v>1013.628978</v>
      </c>
      <c r="J273" s="18">
        <v>2127.84</v>
      </c>
      <c r="K273" s="18"/>
      <c r="L273" s="19">
        <f t="shared" ref="L273:L279" si="12">SUM(F273:K273)</f>
        <v>97501.358977999989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6546</v>
      </c>
      <c r="G274" s="18">
        <v>610.05999999999995</v>
      </c>
      <c r="H274" s="18">
        <v>23928.43</v>
      </c>
      <c r="I274" s="18"/>
      <c r="J274" s="18"/>
      <c r="K274" s="18"/>
      <c r="L274" s="19">
        <f t="shared" si="12"/>
        <v>31084.489999999998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1501.09</v>
      </c>
      <c r="K278" s="18"/>
      <c r="L278" s="19">
        <f t="shared" si="12"/>
        <v>1501.09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3400</v>
      </c>
      <c r="I279" s="18"/>
      <c r="J279" s="18"/>
      <c r="K279" s="18"/>
      <c r="L279" s="19">
        <f t="shared" si="12"/>
        <v>3400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229.14</v>
      </c>
      <c r="I280" s="18"/>
      <c r="J280" s="18"/>
      <c r="K280" s="18"/>
      <c r="L280" s="19">
        <f>SUM(F280:K280)</f>
        <v>229.14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508088.37</v>
      </c>
      <c r="G282" s="42">
        <f t="shared" si="13"/>
        <v>91185.45</v>
      </c>
      <c r="H282" s="42">
        <f t="shared" si="13"/>
        <v>71616.23</v>
      </c>
      <c r="I282" s="42">
        <f t="shared" si="13"/>
        <v>31137.548977999999</v>
      </c>
      <c r="J282" s="42">
        <f t="shared" si="13"/>
        <v>5628.93</v>
      </c>
      <c r="K282" s="42">
        <f t="shared" si="13"/>
        <v>0</v>
      </c>
      <c r="L282" s="41">
        <f t="shared" si="13"/>
        <v>707656.52897799993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6636.03</v>
      </c>
      <c r="G287" s="18">
        <f>1056.9</f>
        <v>1056.9000000000001</v>
      </c>
      <c r="H287" s="18">
        <f>9130.57+3632.14</f>
        <v>12762.71</v>
      </c>
      <c r="I287" s="18">
        <v>1391.62</v>
      </c>
      <c r="J287" s="18"/>
      <c r="K287" s="18"/>
      <c r="L287" s="19">
        <f>SUM(F287:K287)</f>
        <v>21847.26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100064.2</f>
        <v>100064.2</v>
      </c>
      <c r="G288" s="18">
        <f>36478.03</f>
        <v>36478.03</v>
      </c>
      <c r="H288" s="18">
        <v>440.66</v>
      </c>
      <c r="I288" s="18"/>
      <c r="J288" s="18"/>
      <c r="K288" s="18"/>
      <c r="L288" s="19">
        <f>SUM(F288:K288)</f>
        <v>136982.88999999998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34835.98+15073.75</f>
        <v>49909.73</v>
      </c>
      <c r="G292" s="18">
        <f>8875.27+2141.66</f>
        <v>11016.93</v>
      </c>
      <c r="H292" s="18">
        <v>17811.13</v>
      </c>
      <c r="I292" s="18">
        <f>3052.18*0.2254</f>
        <v>687.96137199999998</v>
      </c>
      <c r="J292" s="18">
        <v>1444.19</v>
      </c>
      <c r="K292" s="18"/>
      <c r="L292" s="19">
        <f t="shared" ref="L292:L298" si="14">SUM(F292:K292)</f>
        <v>80869.941372000016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4442.8500000000004</v>
      </c>
      <c r="G293" s="18">
        <v>414.06</v>
      </c>
      <c r="H293" s="18">
        <v>16240.5</v>
      </c>
      <c r="I293" s="18"/>
      <c r="J293" s="18"/>
      <c r="K293" s="18"/>
      <c r="L293" s="19">
        <f t="shared" si="14"/>
        <v>21097.41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>
        <v>1018.81</v>
      </c>
      <c r="K297" s="18"/>
      <c r="L297" s="19">
        <f t="shared" si="14"/>
        <v>1018.81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>
        <f>690*0.2254</f>
        <v>155.52599999999998</v>
      </c>
      <c r="I299" s="18"/>
      <c r="J299" s="18"/>
      <c r="K299" s="18"/>
      <c r="L299" s="19">
        <f>SUM(F299:K299)</f>
        <v>155.52599999999998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161052.81</v>
      </c>
      <c r="G301" s="42">
        <f t="shared" si="15"/>
        <v>48965.919999999998</v>
      </c>
      <c r="H301" s="42">
        <f t="shared" si="15"/>
        <v>47410.525999999998</v>
      </c>
      <c r="I301" s="42">
        <f t="shared" si="15"/>
        <v>2079.5813719999996</v>
      </c>
      <c r="J301" s="42">
        <f t="shared" si="15"/>
        <v>2463</v>
      </c>
      <c r="K301" s="42">
        <f t="shared" si="15"/>
        <v>0</v>
      </c>
      <c r="L301" s="41">
        <f t="shared" si="15"/>
        <v>261971.83737200001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13027.69</v>
      </c>
      <c r="G306" s="18">
        <v>2074.87</v>
      </c>
      <c r="H306" s="18">
        <f>17924.93+1200</f>
        <v>19124.93</v>
      </c>
      <c r="I306" s="18">
        <v>600.75</v>
      </c>
      <c r="J306" s="18"/>
      <c r="K306" s="18"/>
      <c r="L306" s="19">
        <f>SUM(F306:K306)</f>
        <v>34828.240000000005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196443.68</v>
      </c>
      <c r="G307" s="18">
        <v>71612.81</v>
      </c>
      <c r="H307" s="18">
        <v>865.09</v>
      </c>
      <c r="I307" s="18"/>
      <c r="J307" s="18">
        <v>833.25</v>
      </c>
      <c r="K307" s="18"/>
      <c r="L307" s="19">
        <f>SUM(F307:K307)</f>
        <v>269754.83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8002.53</v>
      </c>
      <c r="G308" s="18">
        <v>1760.45</v>
      </c>
      <c r="H308" s="18">
        <v>5800</v>
      </c>
      <c r="I308" s="18">
        <f>17978.64+2977.31</f>
        <v>20955.95</v>
      </c>
      <c r="J308" s="18">
        <v>159172.19</v>
      </c>
      <c r="K308" s="18">
        <v>1000</v>
      </c>
      <c r="L308" s="19">
        <f>SUM(F308:K308)</f>
        <v>196691.12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68389.17</v>
      </c>
      <c r="G311" s="18">
        <v>17423.73</v>
      </c>
      <c r="H311" s="18">
        <f>34966.39+4486+2407.14-0.01</f>
        <v>41859.519999999997</v>
      </c>
      <c r="I311" s="18">
        <f>3052.18*0.4425+773.5</f>
        <v>2124.0896499999999</v>
      </c>
      <c r="J311" s="18">
        <v>2835.2</v>
      </c>
      <c r="K311" s="18"/>
      <c r="L311" s="19">
        <f t="shared" ref="L311:L317" si="16">SUM(F311:K311)</f>
        <v>132631.70964999998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14309.75+8722.09</f>
        <v>23031.84</v>
      </c>
      <c r="G312" s="18">
        <f>1335.77+812.87</f>
        <v>2148.64</v>
      </c>
      <c r="H312" s="18">
        <f>24604.72+31882.96</f>
        <v>56487.68</v>
      </c>
      <c r="I312" s="18">
        <v>200</v>
      </c>
      <c r="J312" s="18">
        <v>8362</v>
      </c>
      <c r="K312" s="18">
        <v>9435</v>
      </c>
      <c r="L312" s="19">
        <f t="shared" si="16"/>
        <v>99665.16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>
        <v>2000.1</v>
      </c>
      <c r="K316" s="18"/>
      <c r="L316" s="19">
        <f t="shared" si="16"/>
        <v>2000.1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f>690*0.4425</f>
        <v>305.32499999999999</v>
      </c>
      <c r="I318" s="18"/>
      <c r="J318" s="18"/>
      <c r="K318" s="18"/>
      <c r="L318" s="19">
        <f>SUM(F318:K318)</f>
        <v>305.32499999999999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308894.91000000003</v>
      </c>
      <c r="G320" s="42">
        <f t="shared" si="17"/>
        <v>95020.499999999985</v>
      </c>
      <c r="H320" s="42">
        <f t="shared" si="17"/>
        <v>124442.545</v>
      </c>
      <c r="I320" s="42">
        <f t="shared" si="17"/>
        <v>23880.789649999999</v>
      </c>
      <c r="J320" s="42">
        <f t="shared" si="17"/>
        <v>173202.74000000002</v>
      </c>
      <c r="K320" s="42">
        <f t="shared" si="17"/>
        <v>10435</v>
      </c>
      <c r="L320" s="41">
        <f t="shared" si="17"/>
        <v>735876.48465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122451.97</v>
      </c>
      <c r="G325" s="18">
        <v>13529.7</v>
      </c>
      <c r="H325" s="18">
        <v>6790.5</v>
      </c>
      <c r="I325" s="18">
        <v>10731.49</v>
      </c>
      <c r="J325" s="18">
        <v>3240</v>
      </c>
      <c r="K325" s="18">
        <v>932.4</v>
      </c>
      <c r="L325" s="19">
        <f t="shared" si="18"/>
        <v>157676.06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122451.97</v>
      </c>
      <c r="G329" s="41">
        <f t="shared" si="19"/>
        <v>13529.7</v>
      </c>
      <c r="H329" s="41">
        <f t="shared" si="19"/>
        <v>6790.5</v>
      </c>
      <c r="I329" s="41">
        <f t="shared" si="19"/>
        <v>10731.49</v>
      </c>
      <c r="J329" s="41">
        <f t="shared" si="19"/>
        <v>3240</v>
      </c>
      <c r="K329" s="41">
        <f t="shared" si="19"/>
        <v>932.4</v>
      </c>
      <c r="L329" s="41">
        <f t="shared" si="18"/>
        <v>157676.06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1100488.06</v>
      </c>
      <c r="G330" s="41">
        <f t="shared" si="20"/>
        <v>248701.57</v>
      </c>
      <c r="H330" s="41">
        <f t="shared" si="20"/>
        <v>250259.80099999998</v>
      </c>
      <c r="I330" s="41">
        <f t="shared" si="20"/>
        <v>67829.41</v>
      </c>
      <c r="J330" s="41">
        <f t="shared" si="20"/>
        <v>184534.67</v>
      </c>
      <c r="K330" s="41">
        <f t="shared" si="20"/>
        <v>11367.4</v>
      </c>
      <c r="L330" s="41">
        <f t="shared" si="20"/>
        <v>1863180.9109999998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12713.4</v>
      </c>
      <c r="L336" s="19">
        <f t="shared" ref="L336:L342" si="21">SUM(F336:K336)</f>
        <v>12713.4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12713.4</v>
      </c>
      <c r="L343" s="41">
        <f>SUM(L333:L342)</f>
        <v>12713.4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1100488.06</v>
      </c>
      <c r="G344" s="41">
        <f>G330</f>
        <v>248701.57</v>
      </c>
      <c r="H344" s="41">
        <f>H330</f>
        <v>250259.80099999998</v>
      </c>
      <c r="I344" s="41">
        <f>I330</f>
        <v>67829.41</v>
      </c>
      <c r="J344" s="41">
        <f>J330</f>
        <v>184534.67</v>
      </c>
      <c r="K344" s="47">
        <f>K330+K343</f>
        <v>24080.799999999999</v>
      </c>
      <c r="L344" s="41">
        <f>L330+L343</f>
        <v>1875894.3109999998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257484.42</v>
      </c>
      <c r="G350" s="18">
        <v>73452.83</v>
      </c>
      <c r="H350" s="18">
        <f>13742.96+3426.36</f>
        <v>17169.32</v>
      </c>
      <c r="I350" s="18">
        <v>206476.84</v>
      </c>
      <c r="J350" s="18">
        <v>6545.19</v>
      </c>
      <c r="K350" s="18"/>
      <c r="L350" s="13">
        <f>SUM(F350:K350)</f>
        <v>561128.6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129628.86</v>
      </c>
      <c r="G351" s="18">
        <v>49630.29</v>
      </c>
      <c r="H351" s="18">
        <f>4957.18+1651.89</f>
        <v>6609.0700000000006</v>
      </c>
      <c r="I351" s="18">
        <v>212506.19</v>
      </c>
      <c r="J351" s="18">
        <v>900.82</v>
      </c>
      <c r="K351" s="18"/>
      <c r="L351" s="19">
        <f>SUM(F351:K351)</f>
        <v>399275.23000000004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248829.29</v>
      </c>
      <c r="G352" s="18">
        <v>97495.95</v>
      </c>
      <c r="H352" s="18">
        <f>20528.31+3369.92</f>
        <v>23898.230000000003</v>
      </c>
      <c r="I352" s="18">
        <v>507026.55</v>
      </c>
      <c r="J352" s="18">
        <v>2857.47</v>
      </c>
      <c r="K352" s="18"/>
      <c r="L352" s="19">
        <f>SUM(F352:K352)</f>
        <v>880107.49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635942.57000000007</v>
      </c>
      <c r="G354" s="47">
        <f t="shared" si="22"/>
        <v>220579.07</v>
      </c>
      <c r="H354" s="47">
        <f t="shared" si="22"/>
        <v>47676.62</v>
      </c>
      <c r="I354" s="47">
        <f t="shared" si="22"/>
        <v>926009.58000000007</v>
      </c>
      <c r="J354" s="47">
        <f t="shared" si="22"/>
        <v>10303.48</v>
      </c>
      <c r="K354" s="47">
        <f t="shared" si="22"/>
        <v>0</v>
      </c>
      <c r="L354" s="47">
        <f t="shared" si="22"/>
        <v>1840511.32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185915.83</v>
      </c>
      <c r="G359" s="18">
        <v>192122.57</v>
      </c>
      <c r="H359" s="18">
        <v>483825.96</v>
      </c>
      <c r="I359" s="56">
        <f>SUM(F359:H359)</f>
        <v>861864.3600000001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206476.84-185915.83</f>
        <v>20561.010000000009</v>
      </c>
      <c r="G360" s="63">
        <f>212506.19-192122.57</f>
        <v>20383.619999999995</v>
      </c>
      <c r="H360" s="63">
        <f>507026.55-483825.96</f>
        <v>23200.589999999967</v>
      </c>
      <c r="I360" s="56">
        <f>SUM(F360:H360)</f>
        <v>64145.219999999972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206476.84</v>
      </c>
      <c r="G361" s="47">
        <f>SUM(G359:G360)</f>
        <v>212506.19</v>
      </c>
      <c r="H361" s="47">
        <f>SUM(H359:H360)</f>
        <v>507026.55</v>
      </c>
      <c r="I361" s="47">
        <f>SUM(I359:I360)</f>
        <v>926009.58000000007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f>22.3+61.84</f>
        <v>84.14</v>
      </c>
      <c r="I381" s="18"/>
      <c r="J381" s="24" t="s">
        <v>312</v>
      </c>
      <c r="K381" s="24" t="s">
        <v>312</v>
      </c>
      <c r="L381" s="56">
        <f t="shared" si="25"/>
        <v>84.14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f>133.82-84.14</f>
        <v>49.679999999999993</v>
      </c>
      <c r="I384" s="18">
        <v>25106.61</v>
      </c>
      <c r="J384" s="24" t="s">
        <v>312</v>
      </c>
      <c r="K384" s="24" t="s">
        <v>312</v>
      </c>
      <c r="L384" s="56">
        <f t="shared" si="25"/>
        <v>25156.29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133.82</v>
      </c>
      <c r="I385" s="65">
        <f>SUM(I379:I384)</f>
        <v>25106.61</v>
      </c>
      <c r="J385" s="45" t="s">
        <v>312</v>
      </c>
      <c r="K385" s="45" t="s">
        <v>312</v>
      </c>
      <c r="L385" s="47">
        <f>SUM(L379:L384)</f>
        <v>25240.43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133.82</v>
      </c>
      <c r="I400" s="47">
        <f>I385+I393+I399</f>
        <v>25106.61</v>
      </c>
      <c r="J400" s="24" t="s">
        <v>312</v>
      </c>
      <c r="K400" s="24" t="s">
        <v>312</v>
      </c>
      <c r="L400" s="47">
        <f>L385+L393+L399</f>
        <v>25240.43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116144</v>
      </c>
      <c r="I407" s="18"/>
      <c r="J407" s="18"/>
      <c r="K407" s="18"/>
      <c r="L407" s="56">
        <f t="shared" si="27"/>
        <v>116144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116144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116144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116144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116144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29528.79</v>
      </c>
      <c r="G431" s="18">
        <v>89513.73</v>
      </c>
      <c r="H431" s="18"/>
      <c r="I431" s="56">
        <f t="shared" ref="I431:I437" si="33">SUM(F431:H431)</f>
        <v>119042.51999999999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29528.79</v>
      </c>
      <c r="G438" s="13">
        <f>SUM(G431:G437)</f>
        <v>89513.73</v>
      </c>
      <c r="H438" s="13">
        <f>SUM(H431:H437)</f>
        <v>0</v>
      </c>
      <c r="I438" s="13">
        <f>SUM(I431:I437)</f>
        <v>119042.51999999999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29528.79</v>
      </c>
      <c r="G449" s="18">
        <v>89513.73</v>
      </c>
      <c r="H449" s="18"/>
      <c r="I449" s="56">
        <f>SUM(F449:H449)</f>
        <v>119042.51999999999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29528.79</v>
      </c>
      <c r="G450" s="83">
        <f>SUM(G446:G449)</f>
        <v>89513.73</v>
      </c>
      <c r="H450" s="83">
        <f>SUM(H446:H449)</f>
        <v>0</v>
      </c>
      <c r="I450" s="83">
        <f>SUM(I446:I449)</f>
        <v>119042.51999999999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29528.79</v>
      </c>
      <c r="G451" s="42">
        <f>G444+G450</f>
        <v>89513.73</v>
      </c>
      <c r="H451" s="42">
        <f>H444+H450</f>
        <v>0</v>
      </c>
      <c r="I451" s="42">
        <f>I444+I450</f>
        <v>119042.51999999999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1814953.96</v>
      </c>
      <c r="G455" s="18">
        <v>363499.38</v>
      </c>
      <c r="H455" s="18">
        <v>163228.4</v>
      </c>
      <c r="I455" s="18"/>
      <c r="J455" s="18">
        <v>209946.09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52504869.859999999</v>
      </c>
      <c r="G458" s="18">
        <f>G185</f>
        <v>1844946.0000000002</v>
      </c>
      <c r="H458" s="18">
        <f>H185</f>
        <v>1880474.7300000002</v>
      </c>
      <c r="I458" s="18">
        <v>14506398.460000001</v>
      </c>
      <c r="J458" s="18">
        <v>25240.43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52504869.859999999</v>
      </c>
      <c r="G460" s="53">
        <f>SUM(G458:G459)</f>
        <v>1844946.0000000002</v>
      </c>
      <c r="H460" s="53">
        <f>SUM(H458:H459)</f>
        <v>1880474.7300000002</v>
      </c>
      <c r="I460" s="53">
        <f>SUM(I458:I459)</f>
        <v>14506398.460000001</v>
      </c>
      <c r="J460" s="53">
        <f>SUM(J458:J459)</f>
        <v>25240.43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53029836.910000004</v>
      </c>
      <c r="G462" s="18">
        <f>L354</f>
        <v>1840511.32</v>
      </c>
      <c r="H462" s="18">
        <f>L344</f>
        <v>1875894.3109999998</v>
      </c>
      <c r="I462" s="18"/>
      <c r="J462" s="18">
        <v>116144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>
        <v>14506398.460000001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53029836.910000004</v>
      </c>
      <c r="G464" s="53">
        <f>SUM(G462:G463)</f>
        <v>1840511.32</v>
      </c>
      <c r="H464" s="53">
        <f>SUM(H462:H463)</f>
        <v>1875894.3109999998</v>
      </c>
      <c r="I464" s="53">
        <f>SUM(I462:I463)</f>
        <v>14506398.460000001</v>
      </c>
      <c r="J464" s="53">
        <f>SUM(J462:J463)</f>
        <v>116144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1289986.9099999964</v>
      </c>
      <c r="G466" s="53">
        <f>(G455+G460)- G464</f>
        <v>367934.06000000029</v>
      </c>
      <c r="H466" s="53">
        <f>(H455+H460)- H464</f>
        <v>167808.81900000037</v>
      </c>
      <c r="I466" s="53">
        <f>(I455+I460)- I464</f>
        <v>0</v>
      </c>
      <c r="J466" s="53">
        <f>(J455+J460)- J464</f>
        <v>119042.51999999999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2565000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285000</v>
      </c>
      <c r="G487" s="18"/>
      <c r="H487" s="18"/>
      <c r="I487" s="18"/>
      <c r="J487" s="18"/>
      <c r="K487" s="53">
        <f t="shared" si="34"/>
        <v>285000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1995000-285000</f>
        <v>1710000</v>
      </c>
      <c r="G488" s="205"/>
      <c r="H488" s="205"/>
      <c r="I488" s="205"/>
      <c r="J488" s="205"/>
      <c r="K488" s="206">
        <f t="shared" si="34"/>
        <v>1710000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388333-102600</f>
        <v>285733</v>
      </c>
      <c r="G489" s="18"/>
      <c r="H489" s="18"/>
      <c r="I489" s="18"/>
      <c r="J489" s="18"/>
      <c r="K489" s="53">
        <f t="shared" si="34"/>
        <v>285733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1995733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1995733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285000</v>
      </c>
      <c r="G491" s="205"/>
      <c r="H491" s="205"/>
      <c r="I491" s="205"/>
      <c r="J491" s="205"/>
      <c r="K491" s="206">
        <f t="shared" si="34"/>
        <v>285000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86925</v>
      </c>
      <c r="G492" s="18"/>
      <c r="H492" s="18"/>
      <c r="I492" s="18"/>
      <c r="J492" s="18"/>
      <c r="K492" s="53">
        <f t="shared" si="34"/>
        <v>86925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371925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371925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F190+F269-F521</f>
        <v>2774750.3000000003</v>
      </c>
      <c r="G511" s="18">
        <f>G190+G269-G521</f>
        <v>742768.44</v>
      </c>
      <c r="H511" s="18">
        <f>H190+H269</f>
        <v>1032229.9099999999</v>
      </c>
      <c r="I511" s="18">
        <f>I190+I269</f>
        <v>35937.619999999995</v>
      </c>
      <c r="J511" s="18">
        <f>J190+J269</f>
        <v>11850.369999999999</v>
      </c>
      <c r="K511" s="18">
        <f>K190+K269</f>
        <v>512.76</v>
      </c>
      <c r="L511" s="88">
        <f>SUM(F511:K511)</f>
        <v>4598049.4000000004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F208+F288-F522</f>
        <v>1149743.81</v>
      </c>
      <c r="G512" s="18">
        <f>G208+G288-G522</f>
        <v>365010.38500000001</v>
      </c>
      <c r="H512" s="18">
        <f>H208+H288</f>
        <v>83184.209999999992</v>
      </c>
      <c r="I512" s="18">
        <f>I208+I288</f>
        <v>10746.55</v>
      </c>
      <c r="J512" s="18">
        <f>J208+J288</f>
        <v>7515.87</v>
      </c>
      <c r="K512" s="18">
        <f>K208+K288</f>
        <v>348.02</v>
      </c>
      <c r="L512" s="88">
        <f>SUM(F512:K512)</f>
        <v>1616548.8450000002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F226+F307-F523</f>
        <v>1301543.3099999998</v>
      </c>
      <c r="G513" s="18">
        <f>G226+G307-G523</f>
        <v>432358.065</v>
      </c>
      <c r="H513" s="18">
        <f>H226+H307</f>
        <v>2160655.2799999998</v>
      </c>
      <c r="I513" s="18">
        <f>I226+I307</f>
        <v>11714.880000000001</v>
      </c>
      <c r="J513" s="18">
        <f>J226+J307</f>
        <v>15588.24</v>
      </c>
      <c r="K513" s="18">
        <f>K226+K307</f>
        <v>683.22</v>
      </c>
      <c r="L513" s="88">
        <f>SUM(F513:K513)</f>
        <v>3922542.9949999996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5226037.42</v>
      </c>
      <c r="G514" s="108">
        <f t="shared" ref="G514:L514" si="35">SUM(G511:G513)</f>
        <v>1540136.89</v>
      </c>
      <c r="H514" s="108">
        <f t="shared" si="35"/>
        <v>3276069.3999999994</v>
      </c>
      <c r="I514" s="108">
        <f t="shared" si="35"/>
        <v>58399.05</v>
      </c>
      <c r="J514" s="108">
        <f t="shared" si="35"/>
        <v>34954.479999999996</v>
      </c>
      <c r="K514" s="108">
        <f t="shared" si="35"/>
        <v>1544</v>
      </c>
      <c r="L514" s="89">
        <f t="shared" si="35"/>
        <v>10137141.24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102363.36+708694.4</f>
        <v>811057.76</v>
      </c>
      <c r="G516" s="18">
        <f>F516*0.25</f>
        <v>202764.44</v>
      </c>
      <c r="H516" s="18">
        <f>34923.57+8803.71</f>
        <v>43727.28</v>
      </c>
      <c r="I516" s="18">
        <f>1762.21+4039.68</f>
        <v>5801.8899999999994</v>
      </c>
      <c r="J516" s="18">
        <v>2783.23</v>
      </c>
      <c r="K516" s="18"/>
      <c r="L516" s="88">
        <f>SUM(F516:K516)</f>
        <v>1066134.5999999999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69372.76</f>
        <v>69372.759999999995</v>
      </c>
      <c r="G517" s="18">
        <f>F517*0.25</f>
        <v>17343.189999999999</v>
      </c>
      <c r="H517" s="18">
        <v>23668.080000000002</v>
      </c>
      <c r="I517" s="18">
        <v>1194.27</v>
      </c>
      <c r="J517" s="18"/>
      <c r="K517" s="18"/>
      <c r="L517" s="88">
        <f>SUM(F517:K517)</f>
        <v>111578.3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136587.25</v>
      </c>
      <c r="G518" s="18">
        <f>F518*0.25</f>
        <v>34146.8125</v>
      </c>
      <c r="H518" s="18">
        <v>46599.83</v>
      </c>
      <c r="I518" s="18">
        <v>2351.38</v>
      </c>
      <c r="J518" s="18"/>
      <c r="K518" s="18"/>
      <c r="L518" s="88">
        <f>SUM(F518:K518)</f>
        <v>219685.27250000002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1017017.77</v>
      </c>
      <c r="G519" s="89">
        <f t="shared" ref="G519:L519" si="36">SUM(G516:G518)</f>
        <v>254254.4425</v>
      </c>
      <c r="H519" s="89">
        <f t="shared" si="36"/>
        <v>113995.19</v>
      </c>
      <c r="I519" s="89">
        <f t="shared" si="36"/>
        <v>9347.5400000000009</v>
      </c>
      <c r="J519" s="89">
        <f t="shared" si="36"/>
        <v>2783.23</v>
      </c>
      <c r="K519" s="89">
        <f t="shared" si="36"/>
        <v>0</v>
      </c>
      <c r="L519" s="89">
        <f t="shared" si="36"/>
        <v>1397398.1724999999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161450*0.332</f>
        <v>53601.4</v>
      </c>
      <c r="G521" s="18">
        <f>F521*0.3</f>
        <v>16080.42</v>
      </c>
      <c r="H521" s="18"/>
      <c r="I521" s="18"/>
      <c r="J521" s="18"/>
      <c r="K521" s="18"/>
      <c r="L521" s="88">
        <f>SUM(F521:K521)</f>
        <v>69681.820000000007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161450*0.225</f>
        <v>36326.25</v>
      </c>
      <c r="G522" s="18">
        <f>F522*0.3</f>
        <v>10897.875</v>
      </c>
      <c r="H522" s="18"/>
      <c r="I522" s="18"/>
      <c r="J522" s="18"/>
      <c r="K522" s="18"/>
      <c r="L522" s="88">
        <f>SUM(F522:K522)</f>
        <v>47224.125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161450*0.443</f>
        <v>71522.350000000006</v>
      </c>
      <c r="G523" s="18">
        <f>F523*0.3</f>
        <v>21456.705000000002</v>
      </c>
      <c r="H523" s="18"/>
      <c r="I523" s="18"/>
      <c r="J523" s="18"/>
      <c r="K523" s="18"/>
      <c r="L523" s="88">
        <f>SUM(F523:K523)</f>
        <v>92979.055000000008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161450</v>
      </c>
      <c r="G524" s="89">
        <f t="shared" ref="G524:L524" si="37">SUM(G521:G523)</f>
        <v>48435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209885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1100.6500000000001</v>
      </c>
      <c r="I526" s="18"/>
      <c r="J526" s="18"/>
      <c r="K526" s="18"/>
      <c r="L526" s="88">
        <f>SUM(F526:K526)</f>
        <v>1100.6500000000001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1100.6500000000001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1100.6500000000001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243115.03</v>
      </c>
      <c r="I531" s="18"/>
      <c r="J531" s="18"/>
      <c r="K531" s="18"/>
      <c r="L531" s="88">
        <f>SUM(F531:K531)</f>
        <v>243115.03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164763</v>
      </c>
      <c r="I532" s="18"/>
      <c r="J532" s="18"/>
      <c r="K532" s="18"/>
      <c r="L532" s="88">
        <f>SUM(F532:K532)</f>
        <v>164763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323458.88</v>
      </c>
      <c r="I533" s="18"/>
      <c r="J533" s="18"/>
      <c r="K533" s="18"/>
      <c r="L533" s="88">
        <f>SUM(F533:K533)</f>
        <v>323458.88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731336.91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731336.91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6404505.1899999995</v>
      </c>
      <c r="G535" s="89">
        <f t="shared" ref="G535:L535" si="40">G514+G519+G524+G529+G534</f>
        <v>1842826.3325</v>
      </c>
      <c r="H535" s="89">
        <f t="shared" si="40"/>
        <v>4122502.1499999994</v>
      </c>
      <c r="I535" s="89">
        <f t="shared" si="40"/>
        <v>67746.59</v>
      </c>
      <c r="J535" s="89">
        <f t="shared" si="40"/>
        <v>37737.71</v>
      </c>
      <c r="K535" s="89">
        <f t="shared" si="40"/>
        <v>1544</v>
      </c>
      <c r="L535" s="89">
        <f t="shared" si="40"/>
        <v>12476861.9725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4598049.4000000004</v>
      </c>
      <c r="G539" s="87">
        <f>L516</f>
        <v>1066134.5999999999</v>
      </c>
      <c r="H539" s="87">
        <f>L521</f>
        <v>69681.820000000007</v>
      </c>
      <c r="I539" s="87">
        <f>L526</f>
        <v>1100.6500000000001</v>
      </c>
      <c r="J539" s="87">
        <f>L531</f>
        <v>243115.03</v>
      </c>
      <c r="K539" s="87">
        <f>SUM(F539:J539)</f>
        <v>5978081.5000000009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1616548.8450000002</v>
      </c>
      <c r="G540" s="87">
        <f>L517</f>
        <v>111578.3</v>
      </c>
      <c r="H540" s="87">
        <f>L522</f>
        <v>47224.125</v>
      </c>
      <c r="I540" s="87">
        <f>L527</f>
        <v>0</v>
      </c>
      <c r="J540" s="87">
        <f>L532</f>
        <v>164763</v>
      </c>
      <c r="K540" s="87">
        <f>SUM(F540:J540)</f>
        <v>1940114.2700000003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3922542.9949999996</v>
      </c>
      <c r="G541" s="87">
        <f>L518</f>
        <v>219685.27250000002</v>
      </c>
      <c r="H541" s="87">
        <f>L523</f>
        <v>92979.055000000008</v>
      </c>
      <c r="I541" s="87">
        <f>L528</f>
        <v>0</v>
      </c>
      <c r="J541" s="87">
        <f>L533</f>
        <v>323458.88</v>
      </c>
      <c r="K541" s="87">
        <f>SUM(F541:J541)</f>
        <v>4558666.2024999997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10137141.24</v>
      </c>
      <c r="G542" s="89">
        <f t="shared" si="41"/>
        <v>1397398.1724999999</v>
      </c>
      <c r="H542" s="89">
        <f t="shared" si="41"/>
        <v>209885</v>
      </c>
      <c r="I542" s="89">
        <f t="shared" si="41"/>
        <v>1100.6500000000001</v>
      </c>
      <c r="J542" s="89">
        <f t="shared" si="41"/>
        <v>731336.91</v>
      </c>
      <c r="K542" s="89">
        <f t="shared" si="41"/>
        <v>12476861.9725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51412.04</v>
      </c>
      <c r="G552" s="18">
        <f>F552*0.25</f>
        <v>12853.01</v>
      </c>
      <c r="H552" s="18">
        <v>188.45</v>
      </c>
      <c r="I552" s="18">
        <v>1040.76</v>
      </c>
      <c r="J552" s="18">
        <v>276.64</v>
      </c>
      <c r="K552" s="18"/>
      <c r="L552" s="88">
        <f>SUM(F552:K552)</f>
        <v>65770.900000000009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34842.49</v>
      </c>
      <c r="G553" s="18">
        <f>F553*0.25</f>
        <v>8710.6224999999995</v>
      </c>
      <c r="H553" s="18">
        <v>127.71</v>
      </c>
      <c r="I553" s="18">
        <v>705.33</v>
      </c>
      <c r="J553" s="18">
        <v>187.48</v>
      </c>
      <c r="K553" s="18"/>
      <c r="L553" s="88">
        <f>SUM(F553:K553)</f>
        <v>44573.6325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68601</v>
      </c>
      <c r="G554" s="18">
        <f>F554*0.25</f>
        <v>17150.25</v>
      </c>
      <c r="H554" s="18">
        <v>251.46</v>
      </c>
      <c r="I554" s="18">
        <v>1388.73</v>
      </c>
      <c r="J554" s="18">
        <v>369.13</v>
      </c>
      <c r="K554" s="18"/>
      <c r="L554" s="88">
        <f>SUM(F554:K554)</f>
        <v>87760.57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154855.53</v>
      </c>
      <c r="G555" s="89">
        <f t="shared" si="43"/>
        <v>38713.8825</v>
      </c>
      <c r="H555" s="89">
        <f t="shared" si="43"/>
        <v>567.62</v>
      </c>
      <c r="I555" s="89">
        <f t="shared" si="43"/>
        <v>3134.82</v>
      </c>
      <c r="J555" s="89">
        <f t="shared" si="43"/>
        <v>833.25</v>
      </c>
      <c r="K555" s="89">
        <f t="shared" si="43"/>
        <v>0</v>
      </c>
      <c r="L555" s="89">
        <f t="shared" si="43"/>
        <v>198105.10250000001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154855.53</v>
      </c>
      <c r="G561" s="89">
        <f t="shared" ref="G561:L561" si="45">G550+G555+G560</f>
        <v>38713.8825</v>
      </c>
      <c r="H561" s="89">
        <f t="shared" si="45"/>
        <v>567.62</v>
      </c>
      <c r="I561" s="89">
        <f t="shared" si="45"/>
        <v>3134.82</v>
      </c>
      <c r="J561" s="89">
        <f t="shared" si="45"/>
        <v>833.25</v>
      </c>
      <c r="K561" s="89">
        <f t="shared" si="45"/>
        <v>0</v>
      </c>
      <c r="L561" s="89">
        <f t="shared" si="45"/>
        <v>198105.10250000001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14148.72+47378.95</f>
        <v>61527.67</v>
      </c>
      <c r="G569" s="18"/>
      <c r="H569" s="18">
        <v>11252.94</v>
      </c>
      <c r="I569" s="87">
        <f t="shared" si="46"/>
        <v>72780.61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77473.66+762829.39</f>
        <v>840303.05</v>
      </c>
      <c r="G572" s="18"/>
      <c r="H572" s="18">
        <f>61617.3+1132717.57+1843.75</f>
        <v>1196178.6200000001</v>
      </c>
      <c r="I572" s="87">
        <f t="shared" si="46"/>
        <v>2036481.6700000002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95032.28</v>
      </c>
      <c r="G573" s="18"/>
      <c r="H573" s="18">
        <v>858627.93</v>
      </c>
      <c r="I573" s="87">
        <f t="shared" si="46"/>
        <v>953660.21000000008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4454.66</v>
      </c>
      <c r="I576" s="87">
        <f t="shared" si="46"/>
        <v>4454.66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516287.97</v>
      </c>
      <c r="I581" s="18">
        <v>350410.45</v>
      </c>
      <c r="J581" s="18">
        <v>687917.58</v>
      </c>
      <c r="K581" s="104">
        <f t="shared" ref="K581:K587" si="47">SUM(H581:J581)</f>
        <v>1554616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242758.63+356.4</f>
        <v>243115.03</v>
      </c>
      <c r="I582" s="18">
        <v>164763</v>
      </c>
      <c r="J582" s="18">
        <v>323458.88</v>
      </c>
      <c r="K582" s="104">
        <f t="shared" si="47"/>
        <v>731336.91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3738.92</v>
      </c>
      <c r="K583" s="104">
        <f t="shared" si="47"/>
        <v>3738.92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6523.77</v>
      </c>
      <c r="J584" s="18">
        <v>57382.7</v>
      </c>
      <c r="K584" s="104">
        <f t="shared" si="47"/>
        <v>63906.47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920</v>
      </c>
      <c r="J585" s="18">
        <v>27555.5</v>
      </c>
      <c r="K585" s="104">
        <f t="shared" si="47"/>
        <v>28475.5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759403</v>
      </c>
      <c r="I588" s="108">
        <f>SUM(I581:I587)</f>
        <v>522617.22000000003</v>
      </c>
      <c r="J588" s="108">
        <f>SUM(J581:J587)</f>
        <v>1100053.58</v>
      </c>
      <c r="K588" s="108">
        <f>SUM(K581:K587)</f>
        <v>2382073.8000000003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344165.27</v>
      </c>
      <c r="I594" s="18">
        <v>96291.58</v>
      </c>
      <c r="J594" s="18">
        <f>353915.61+1295.13</f>
        <v>355210.74</v>
      </c>
      <c r="K594" s="104">
        <f>SUM(H594:J594)</f>
        <v>795667.59000000008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344165.27</v>
      </c>
      <c r="I595" s="108">
        <f>SUM(I592:I594)</f>
        <v>96291.58</v>
      </c>
      <c r="J595" s="108">
        <f>SUM(J592:J594)</f>
        <v>355210.74</v>
      </c>
      <c r="K595" s="108">
        <f>SUM(K592:K594)</f>
        <v>795667.59000000008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38737.5*0.24</f>
        <v>9297</v>
      </c>
      <c r="G601" s="18">
        <f>F601*0.1235</f>
        <v>1148.1795</v>
      </c>
      <c r="H601" s="18"/>
      <c r="I601" s="18"/>
      <c r="J601" s="18"/>
      <c r="K601" s="18"/>
      <c r="L601" s="88">
        <f>SUM(F601:K601)</f>
        <v>10445.1795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38737.5*0.07</f>
        <v>2711.6250000000005</v>
      </c>
      <c r="G602" s="18">
        <f>F602*0.1235</f>
        <v>334.88568750000007</v>
      </c>
      <c r="H602" s="18"/>
      <c r="I602" s="18"/>
      <c r="J602" s="18"/>
      <c r="K602" s="18"/>
      <c r="L602" s="88">
        <f>SUM(F602:K602)</f>
        <v>3046.5106875000006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38737.5*0.69</f>
        <v>26728.874999999996</v>
      </c>
      <c r="G603" s="18">
        <f>F603*0.1235</f>
        <v>3301.0160624999994</v>
      </c>
      <c r="H603" s="18"/>
      <c r="I603" s="18"/>
      <c r="J603" s="18"/>
      <c r="K603" s="18"/>
      <c r="L603" s="88">
        <f>SUM(F603:K603)</f>
        <v>30029.891062499995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38737.5</v>
      </c>
      <c r="G604" s="108">
        <f t="shared" si="48"/>
        <v>4784.0812499999993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43521.581249999996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2560192.4900000002</v>
      </c>
      <c r="H607" s="109">
        <f>SUM(F44)</f>
        <v>2560192.4900000002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373051.94</v>
      </c>
      <c r="H608" s="109">
        <f>SUM(G44)</f>
        <v>373051.94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253015.32</v>
      </c>
      <c r="H609" s="109">
        <f>SUM(H44)</f>
        <v>253015.32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14506398.460000001</v>
      </c>
      <c r="H610" s="109">
        <f>SUM(I44)</f>
        <v>14506398.460000001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119042.51999999999</v>
      </c>
      <c r="H611" s="109">
        <f>SUM(J44)</f>
        <v>119042.51999999999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1289986.9099999999</v>
      </c>
      <c r="H612" s="109">
        <f>F466</f>
        <v>1289986.9099999964</v>
      </c>
      <c r="I612" s="121" t="s">
        <v>106</v>
      </c>
      <c r="J612" s="109">
        <f t="shared" ref="J612:J645" si="49">G612-H612</f>
        <v>3.4924596548080444E-9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367934.06</v>
      </c>
      <c r="H613" s="109">
        <f>G466</f>
        <v>367934.06000000029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167808.82</v>
      </c>
      <c r="H614" s="109">
        <f>H466</f>
        <v>167808.81900000037</v>
      </c>
      <c r="I614" s="121" t="s">
        <v>110</v>
      </c>
      <c r="J614" s="109">
        <f t="shared" si="49"/>
        <v>9.9999964004382491E-4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119042.51999999999</v>
      </c>
      <c r="H616" s="109">
        <f>J466</f>
        <v>119042.51999999999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52504869.859999999</v>
      </c>
      <c r="H617" s="104">
        <f>SUM(F458)</f>
        <v>52504869.859999999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1844946.0000000002</v>
      </c>
      <c r="H618" s="104">
        <f>SUM(G458)</f>
        <v>1844946.0000000002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1880474.7300000002</v>
      </c>
      <c r="H619" s="104">
        <f>SUM(H458)</f>
        <v>1880474.7300000002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14506398.460000001</v>
      </c>
      <c r="H620" s="104">
        <f>SUM(I458)</f>
        <v>14506398.460000001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25240.43</v>
      </c>
      <c r="H621" s="104">
        <f>SUM(J458)</f>
        <v>25240.43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53029836.910000004</v>
      </c>
      <c r="H622" s="104">
        <f>SUM(F462)</f>
        <v>53029836.910000004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1875894.3109999998</v>
      </c>
      <c r="H623" s="104">
        <f>SUM(H462)</f>
        <v>1875894.3109999998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926009.58000000007</v>
      </c>
      <c r="H624" s="104">
        <f>I361</f>
        <v>926009.58000000007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1840511.32</v>
      </c>
      <c r="H625" s="104">
        <f>SUM(G462)</f>
        <v>1840511.32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25240.43</v>
      </c>
      <c r="H627" s="164">
        <f>SUM(J458)</f>
        <v>25240.43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116144</v>
      </c>
      <c r="H628" s="164">
        <f>SUM(J462)</f>
        <v>116144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29528.79</v>
      </c>
      <c r="H629" s="104">
        <f>SUM(F451)</f>
        <v>29528.79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89513.73</v>
      </c>
      <c r="H630" s="104">
        <f>SUM(G451)</f>
        <v>89513.73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119042.51999999999</v>
      </c>
      <c r="H632" s="104">
        <f>SUM(I451)</f>
        <v>119042.51999999999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133.82</v>
      </c>
      <c r="H634" s="104">
        <f>H400</f>
        <v>133.82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25240.43</v>
      </c>
      <c r="H636" s="104">
        <f>L400</f>
        <v>25240.43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2382073.8000000003</v>
      </c>
      <c r="H637" s="104">
        <f>L200+L218+L236</f>
        <v>2382073.7999999998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795667.59000000008</v>
      </c>
      <c r="H638" s="104">
        <f>(J249+J330)-(J247+J328)</f>
        <v>795667.59000000008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759403</v>
      </c>
      <c r="H639" s="104">
        <f>H588</f>
        <v>759403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522617.22</v>
      </c>
      <c r="H640" s="104">
        <f>I588</f>
        <v>522617.22000000003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1100053.58</v>
      </c>
      <c r="H641" s="104">
        <f>J588</f>
        <v>1100053.58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1.0000169277191162E-3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21133387.648978002</v>
      </c>
      <c r="G650" s="19">
        <f>(L221+L301+L351)</f>
        <v>10271481.637372002</v>
      </c>
      <c r="H650" s="19">
        <f>(L239+L320+L352)</f>
        <v>23115548.634650003</v>
      </c>
      <c r="I650" s="19">
        <f>SUM(F650:H650)</f>
        <v>54520417.921000004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431290.66126659192</v>
      </c>
      <c r="G651" s="19">
        <f>(L351/IF(SUM(L350:L352)=0,1,SUM(L350:L352))*(SUM(G89:G102)))</f>
        <v>306888.07872931554</v>
      </c>
      <c r="H651" s="19">
        <f>(L352/IF(SUM(L350:L352)=0,1,SUM(L350:L352))*(SUM(G89:G102)))</f>
        <v>676461.94000409264</v>
      </c>
      <c r="I651" s="19">
        <f>SUM(F651:H651)</f>
        <v>1414640.6800000002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762803</v>
      </c>
      <c r="G652" s="19">
        <f>(L218+L298)-(J218+J298)</f>
        <v>522617.22</v>
      </c>
      <c r="H652" s="19">
        <f>(L236+L317)-(J236+J317)</f>
        <v>1100053.58</v>
      </c>
      <c r="I652" s="19">
        <f>SUM(F652:H652)</f>
        <v>2385473.7999999998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1351473.4495000001</v>
      </c>
      <c r="G653" s="200">
        <f>SUM(G565:G577)+SUM(I592:I594)+L602</f>
        <v>99338.090687500007</v>
      </c>
      <c r="H653" s="200">
        <f>SUM(H565:H577)+SUM(J592:J594)+L603</f>
        <v>2455754.7810625001</v>
      </c>
      <c r="I653" s="19">
        <f>SUM(F653:H653)</f>
        <v>3906566.32125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18587820.538211409</v>
      </c>
      <c r="G654" s="19">
        <f>G650-SUM(G651:G653)</f>
        <v>9342638.2479551863</v>
      </c>
      <c r="H654" s="19">
        <f>H650-SUM(H651:H653)</f>
        <v>18883278.333583411</v>
      </c>
      <c r="I654" s="19">
        <f>I650-SUM(I651:I653)</f>
        <v>46813737.119750008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1722.74</v>
      </c>
      <c r="G655" s="249">
        <v>1151.22</v>
      </c>
      <c r="H655" s="249">
        <v>1816.4</v>
      </c>
      <c r="I655" s="19">
        <f>SUM(F655:H655)</f>
        <v>4690.3600000000006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10789.68</v>
      </c>
      <c r="G657" s="19">
        <f>ROUND(G654/G655,2)</f>
        <v>8115.42</v>
      </c>
      <c r="H657" s="19">
        <f>ROUND(H654/H655,2)</f>
        <v>10395.99</v>
      </c>
      <c r="I657" s="19">
        <f>ROUND(I654/I655,2)</f>
        <v>9980.84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17.36</v>
      </c>
      <c r="I660" s="19">
        <f>SUM(F660:H660)</f>
        <v>17.36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10789.68</v>
      </c>
      <c r="G662" s="19">
        <f>ROUND((G654+G659)/(G655+G660),2)</f>
        <v>8115.42</v>
      </c>
      <c r="H662" s="19">
        <f>ROUND((H654+H659)/(H655+H660),2)</f>
        <v>10297.57</v>
      </c>
      <c r="I662" s="19">
        <f>ROUND((I654+I659)/(I655+I660),2)</f>
        <v>9944.0400000000009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copies="5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3EF1-1FC4-4ECD-BC89-F371FE6BCA79}">
  <sheetPr>
    <tabColor indexed="20"/>
  </sheetPr>
  <dimension ref="A1:C52"/>
  <sheetViews>
    <sheetView topLeftCell="A2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Salem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16934111.590000004</v>
      </c>
      <c r="C9" s="230">
        <f>'DOE25'!G189+'DOE25'!G207+'DOE25'!G225+'DOE25'!G268+'DOE25'!G287+'DOE25'!G306</f>
        <v>5628390.4900000002</v>
      </c>
    </row>
    <row r="10" spans="1:3" x14ac:dyDescent="0.2">
      <c r="A10" t="s">
        <v>813</v>
      </c>
      <c r="B10" s="241">
        <f>16290617.3</f>
        <v>16290617.300000001</v>
      </c>
      <c r="C10" s="241">
        <v>5466971.8200000003</v>
      </c>
    </row>
    <row r="11" spans="1:3" x14ac:dyDescent="0.2">
      <c r="A11" t="s">
        <v>814</v>
      </c>
      <c r="B11" s="241">
        <f>239811.93+33357.36</f>
        <v>273169.28999999998</v>
      </c>
      <c r="C11" s="241">
        <v>24890.58</v>
      </c>
    </row>
    <row r="12" spans="1:3" x14ac:dyDescent="0.2">
      <c r="A12" t="s">
        <v>815</v>
      </c>
      <c r="B12" s="241">
        <f>322950+47375</f>
        <v>370325</v>
      </c>
      <c r="C12" s="241">
        <v>136528.09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16934111.59</v>
      </c>
      <c r="C13" s="232">
        <f>SUM(C10:C12)</f>
        <v>5628390.4900000002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5387487.4200000009</v>
      </c>
      <c r="C18" s="230">
        <f>'DOE25'!G190+'DOE25'!G208+'DOE25'!G226+'DOE25'!G269+'DOE25'!G288+'DOE25'!G307</f>
        <v>1588571.8900000001</v>
      </c>
    </row>
    <row r="19" spans="1:3" x14ac:dyDescent="0.2">
      <c r="A19" t="s">
        <v>813</v>
      </c>
      <c r="B19" s="241">
        <f>1566359.59+196443.68+440438.33+100064.18</f>
        <v>2303305.7800000003</v>
      </c>
      <c r="C19" s="241">
        <f>538112.34+75213.25+36478.03+71612.8</f>
        <v>721416.42</v>
      </c>
    </row>
    <row r="20" spans="1:3" x14ac:dyDescent="0.2">
      <c r="A20" t="s">
        <v>814</v>
      </c>
      <c r="B20" s="241">
        <v>2234618.56</v>
      </c>
      <c r="C20" s="241">
        <v>569605.9</v>
      </c>
    </row>
    <row r="21" spans="1:3" x14ac:dyDescent="0.2">
      <c r="A21" t="s">
        <v>815</v>
      </c>
      <c r="B21" s="241">
        <v>849563.08</v>
      </c>
      <c r="C21" s="241">
        <v>297549.57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5387487.4199999999</v>
      </c>
      <c r="C22" s="232">
        <f>SUM(C19:C21)</f>
        <v>1588571.8900000001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1147927.92</v>
      </c>
      <c r="C27" s="235">
        <f>'DOE25'!G191+'DOE25'!G209+'DOE25'!G227+'DOE25'!G270+'DOE25'!G289+'DOE25'!G308</f>
        <v>367678.36</v>
      </c>
    </row>
    <row r="28" spans="1:3" x14ac:dyDescent="0.2">
      <c r="A28" t="s">
        <v>813</v>
      </c>
      <c r="B28" s="241">
        <f>888907.47+8002.53</f>
        <v>896910</v>
      </c>
      <c r="C28" s="241">
        <f>303657.89+1760.45</f>
        <v>305418.34000000003</v>
      </c>
    </row>
    <row r="29" spans="1:3" x14ac:dyDescent="0.2">
      <c r="A29" t="s">
        <v>814</v>
      </c>
      <c r="B29" s="241">
        <v>100997.33</v>
      </c>
      <c r="C29" s="241">
        <v>7966.68</v>
      </c>
    </row>
    <row r="30" spans="1:3" x14ac:dyDescent="0.2">
      <c r="A30" t="s">
        <v>815</v>
      </c>
      <c r="B30" s="241">
        <v>150020.59</v>
      </c>
      <c r="C30" s="241">
        <v>54293.34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1147927.92</v>
      </c>
      <c r="C31" s="232">
        <f>SUM(C28:C30)</f>
        <v>367678.36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519809.23000000004</v>
      </c>
      <c r="C36" s="236">
        <f>'DOE25'!G192+'DOE25'!G210+'DOE25'!G228+'DOE25'!G271+'DOE25'!G290+'DOE25'!G309</f>
        <v>99083.99</v>
      </c>
    </row>
    <row r="37" spans="1:3" x14ac:dyDescent="0.2">
      <c r="A37" t="s">
        <v>813</v>
      </c>
      <c r="B37" s="241">
        <v>116193</v>
      </c>
      <c r="C37" s="241">
        <v>39917.33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403616.23</v>
      </c>
      <c r="C39" s="241">
        <f>3055.61+96028.38-39917.33</f>
        <v>59166.66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519809.23</v>
      </c>
      <c r="C40" s="232">
        <f>SUM(C37:C39)</f>
        <v>99083.99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EA38-C745-4F11-9C56-0879C5970B1E}">
  <sheetPr>
    <tabColor indexed="11"/>
  </sheetPr>
  <dimension ref="A1:I51"/>
  <sheetViews>
    <sheetView workbookViewId="0">
      <pane ySplit="4" topLeftCell="A30" activePane="bottomLeft" state="frozen"/>
      <selection pane="bottomLeft" activeCell="F12" sqref="F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Salem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35439576.899999999</v>
      </c>
      <c r="D5" s="20">
        <f>SUM('DOE25'!L189:L192)+SUM('DOE25'!L207:L210)+SUM('DOE25'!L225:L228)-F5-G5</f>
        <v>35122290.859999999</v>
      </c>
      <c r="E5" s="244"/>
      <c r="F5" s="256">
        <f>SUM('DOE25'!J189:J192)+SUM('DOE25'!J207:J210)+SUM('DOE25'!J225:J228)</f>
        <v>302259.03999999998</v>
      </c>
      <c r="G5" s="53">
        <f>SUM('DOE25'!K189:K192)+SUM('DOE25'!K207:K210)+SUM('DOE25'!K225:K228)</f>
        <v>15027</v>
      </c>
      <c r="H5" s="260"/>
    </row>
    <row r="6" spans="1:9" x14ac:dyDescent="0.2">
      <c r="A6" s="32">
        <v>2100</v>
      </c>
      <c r="B6" t="s">
        <v>835</v>
      </c>
      <c r="C6" s="246">
        <f t="shared" si="0"/>
        <v>3478618.2600000002</v>
      </c>
      <c r="D6" s="20">
        <f>'DOE25'!L194+'DOE25'!L212+'DOE25'!L230-F6-G6</f>
        <v>3477923.2600000002</v>
      </c>
      <c r="E6" s="244"/>
      <c r="F6" s="256">
        <f>'DOE25'!J194+'DOE25'!J212+'DOE25'!J230</f>
        <v>0</v>
      </c>
      <c r="G6" s="53">
        <f>'DOE25'!K194+'DOE25'!K212+'DOE25'!K230</f>
        <v>695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1830742.1</v>
      </c>
      <c r="D7" s="20">
        <f>'DOE25'!L195+'DOE25'!L213+'DOE25'!L231-F7-G7</f>
        <v>1558464.7400000002</v>
      </c>
      <c r="E7" s="244"/>
      <c r="F7" s="256">
        <f>'DOE25'!J195+'DOE25'!J213+'DOE25'!J231</f>
        <v>272141.36</v>
      </c>
      <c r="G7" s="53">
        <f>'DOE25'!K195+'DOE25'!K213+'DOE25'!K231</f>
        <v>136</v>
      </c>
      <c r="H7" s="260"/>
    </row>
    <row r="8" spans="1:9" x14ac:dyDescent="0.2">
      <c r="A8" s="32">
        <v>2300</v>
      </c>
      <c r="B8" t="s">
        <v>836</v>
      </c>
      <c r="C8" s="246">
        <f t="shared" si="0"/>
        <v>421723.02999999985</v>
      </c>
      <c r="D8" s="244"/>
      <c r="E8" s="20">
        <f>'DOE25'!L196+'DOE25'!L214+'DOE25'!L232-F8-G8-D9-D11</f>
        <v>407193.25999999983</v>
      </c>
      <c r="F8" s="256">
        <f>'DOE25'!J196+'DOE25'!J214+'DOE25'!J232</f>
        <v>0</v>
      </c>
      <c r="G8" s="53">
        <f>'DOE25'!K196+'DOE25'!K214+'DOE25'!K232</f>
        <v>14529.77</v>
      </c>
      <c r="H8" s="260"/>
    </row>
    <row r="9" spans="1:9" x14ac:dyDescent="0.2">
      <c r="A9" s="32">
        <v>2310</v>
      </c>
      <c r="B9" t="s">
        <v>852</v>
      </c>
      <c r="C9" s="246">
        <f t="shared" si="0"/>
        <v>23124.880000000001</v>
      </c>
      <c r="D9" s="245">
        <v>23124.880000000001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16070.13</v>
      </c>
      <c r="D10" s="244"/>
      <c r="E10" s="245">
        <v>16070.13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320261.45</v>
      </c>
      <c r="D11" s="245">
        <v>320261.45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2547862.23</v>
      </c>
      <c r="D12" s="20">
        <f>'DOE25'!L197+'DOE25'!L215+'DOE25'!L233-F12-G12</f>
        <v>2540137.23</v>
      </c>
      <c r="E12" s="244"/>
      <c r="F12" s="256">
        <f>'DOE25'!J197+'DOE25'!J215+'DOE25'!J233</f>
        <v>0</v>
      </c>
      <c r="G12" s="53">
        <f>'DOE25'!K197+'DOE25'!K215+'DOE25'!K233</f>
        <v>7725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314752.04000000004</v>
      </c>
      <c r="D13" s="244"/>
      <c r="E13" s="20">
        <f>'DOE25'!L198+'DOE25'!L216+'DOE25'!L234-F13-G13</f>
        <v>314752.04000000004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4107606.11</v>
      </c>
      <c r="D14" s="20">
        <f>'DOE25'!L199+'DOE25'!L217+'DOE25'!L235-F14-G14</f>
        <v>4070873.59</v>
      </c>
      <c r="E14" s="244"/>
      <c r="F14" s="256">
        <f>'DOE25'!J199+'DOE25'!J217+'DOE25'!J235</f>
        <v>36732.519999999997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2382073.7999999998</v>
      </c>
      <c r="D15" s="20">
        <f>'DOE25'!L200+'DOE25'!L218+'DOE25'!L236-F15-G15</f>
        <v>2382073.7999999998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108060.95</v>
      </c>
      <c r="D16" s="244"/>
      <c r="E16" s="20">
        <f>'DOE25'!L201+'DOE25'!L219+'DOE25'!L237-F16-G16</f>
        <v>108060.95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192096.42</v>
      </c>
      <c r="D17" s="20">
        <f>'DOE25'!L243-F17-G17</f>
        <v>192096.42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1475738.74</v>
      </c>
      <c r="D22" s="244"/>
      <c r="E22" s="244"/>
      <c r="F22" s="256">
        <f>'DOE25'!L247+'DOE25'!L328</f>
        <v>1475738.74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387600</v>
      </c>
      <c r="D25" s="244"/>
      <c r="E25" s="244"/>
      <c r="F25" s="259"/>
      <c r="G25" s="257"/>
      <c r="H25" s="258">
        <f>'DOE25'!L252+'DOE25'!L253+'DOE25'!L333+'DOE25'!L334</f>
        <v>387600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978646.96</v>
      </c>
      <c r="D29" s="20">
        <f>'DOE25'!L350+'DOE25'!L351+'DOE25'!L352-'DOE25'!I359-F29-G29</f>
        <v>968343.48</v>
      </c>
      <c r="E29" s="244"/>
      <c r="F29" s="256">
        <f>'DOE25'!J350+'DOE25'!J351+'DOE25'!J352</f>
        <v>10303.48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1863180.9109999998</v>
      </c>
      <c r="D31" s="20">
        <f>'DOE25'!L282+'DOE25'!L301+'DOE25'!L320+'DOE25'!L325+'DOE25'!L326+'DOE25'!L327-F31-G31</f>
        <v>1667278.841</v>
      </c>
      <c r="E31" s="244"/>
      <c r="F31" s="256">
        <f>'DOE25'!J282+'DOE25'!J301+'DOE25'!J320+'DOE25'!J325+'DOE25'!J326+'DOE25'!J327</f>
        <v>184534.67</v>
      </c>
      <c r="G31" s="53">
        <f>'DOE25'!K282+'DOE25'!K301+'DOE25'!K320+'DOE25'!K325+'DOE25'!K326+'DOE25'!K327</f>
        <v>11367.4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52322868.550999999</v>
      </c>
      <c r="E33" s="247">
        <f>SUM(E5:E31)</f>
        <v>846076.37999999989</v>
      </c>
      <c r="F33" s="247">
        <f>SUM(F5:F31)</f>
        <v>2281709.81</v>
      </c>
      <c r="G33" s="247">
        <f>SUM(G5:G31)</f>
        <v>49480.170000000006</v>
      </c>
      <c r="H33" s="247">
        <f>SUM(H5:H31)</f>
        <v>387600</v>
      </c>
    </row>
    <row r="35" spans="2:8" ht="12" thickBot="1" x14ac:dyDescent="0.25">
      <c r="B35" s="254" t="s">
        <v>881</v>
      </c>
      <c r="D35" s="255">
        <f>E33</f>
        <v>846076.37999999989</v>
      </c>
      <c r="E35" s="250"/>
    </row>
    <row r="36" spans="2:8" ht="12" thickTop="1" x14ac:dyDescent="0.2">
      <c r="B36" t="s">
        <v>849</v>
      </c>
      <c r="D36" s="20">
        <f>D33</f>
        <v>52322868.550999999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EDDC-F8C8-4EA5-BD0C-451C948DBFB4}">
  <sheetPr transitionEvaluation="1" codeName="Sheet2">
    <tabColor indexed="10"/>
  </sheetPr>
  <dimension ref="A1:I156"/>
  <sheetViews>
    <sheetView zoomScale="75" workbookViewId="0">
      <pane ySplit="2" topLeftCell="A24" activePane="bottomLeft" state="frozen"/>
      <selection pane="bottomLeft" activeCell="C36" sqref="C3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2395816.66</v>
      </c>
      <c r="D9" s="95">
        <f>'DOE25'!G9</f>
        <v>59179.99</v>
      </c>
      <c r="E9" s="95">
        <f>'DOE25'!H9</f>
        <v>0</v>
      </c>
      <c r="F9" s="95">
        <f>'DOE25'!I9</f>
        <v>14506398.460000001</v>
      </c>
      <c r="G9" s="95">
        <f>'DOE25'!J9</f>
        <v>119042.51999999999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286029.95</v>
      </c>
      <c r="E12" s="95">
        <f>'DOE25'!H12</f>
        <v>247437.5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126886.41</v>
      </c>
      <c r="D13" s="95">
        <f>'DOE25'!G13</f>
        <v>27842</v>
      </c>
      <c r="E13" s="95">
        <f>'DOE25'!H13</f>
        <v>5577.82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37489.42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2560192.4900000002</v>
      </c>
      <c r="D19" s="41">
        <f>SUM(D9:D18)</f>
        <v>373051.94</v>
      </c>
      <c r="E19" s="41">
        <f>SUM(E9:E18)</f>
        <v>253015.32</v>
      </c>
      <c r="F19" s="41">
        <f>SUM(F9:F18)</f>
        <v>14506398.460000001</v>
      </c>
      <c r="G19" s="41">
        <f>SUM(G9:G18)</f>
        <v>119042.51999999999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533467.44999999995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84149.64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550791.77999999991</v>
      </c>
      <c r="D24" s="95">
        <f>'DOE25'!G25</f>
        <v>2471.7800000000002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185946.34999999998</v>
      </c>
      <c r="D29" s="95">
        <f>'DOE25'!G30</f>
        <v>2646.1</v>
      </c>
      <c r="E29" s="95">
        <f>'DOE25'!H30</f>
        <v>1056.8599999999999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14506398.460000001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1270205.58</v>
      </c>
      <c r="D32" s="41">
        <f>SUM(D22:D31)</f>
        <v>5117.88</v>
      </c>
      <c r="E32" s="41">
        <f>SUM(E22:E31)</f>
        <v>85206.5</v>
      </c>
      <c r="F32" s="41">
        <f>SUM(F22:F31)</f>
        <v>14506398.460000001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54269.19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66632.58</v>
      </c>
      <c r="D40" s="95">
        <f>'DOE25'!G41</f>
        <v>367934.06</v>
      </c>
      <c r="E40" s="95">
        <f>'DOE25'!H41</f>
        <v>167808.82</v>
      </c>
      <c r="F40" s="95">
        <f>'DOE25'!I41</f>
        <v>0</v>
      </c>
      <c r="G40" s="95">
        <f>'DOE25'!J41</f>
        <v>119042.51999999999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1169085.1399999999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1289986.9099999999</v>
      </c>
      <c r="D42" s="41">
        <f>SUM(D34:D41)</f>
        <v>367934.06</v>
      </c>
      <c r="E42" s="41">
        <f>SUM(E34:E41)</f>
        <v>167808.82</v>
      </c>
      <c r="F42" s="41">
        <f>SUM(F34:F41)</f>
        <v>0</v>
      </c>
      <c r="G42" s="41">
        <f>SUM(G34:G41)</f>
        <v>119042.51999999999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2560192.4900000002</v>
      </c>
      <c r="D43" s="41">
        <f>D42+D32</f>
        <v>373051.94</v>
      </c>
      <c r="E43" s="41">
        <f>E42+E32</f>
        <v>253015.32</v>
      </c>
      <c r="F43" s="41">
        <f>F42+F32</f>
        <v>14506398.460000001</v>
      </c>
      <c r="G43" s="41">
        <f>G42+G32</f>
        <v>119042.51999999999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29160491.559999999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3550679.8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3392.26</v>
      </c>
      <c r="D51" s="95">
        <f>'DOE25'!G88</f>
        <v>2246.0500000000002</v>
      </c>
      <c r="E51" s="95">
        <f>'DOE25'!H88</f>
        <v>0</v>
      </c>
      <c r="F51" s="95">
        <f>'DOE25'!I88</f>
        <v>0</v>
      </c>
      <c r="G51" s="95">
        <f>'DOE25'!J88</f>
        <v>133.82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1414640.6800000002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126138.54</v>
      </c>
      <c r="D53" s="95">
        <f>SUM('DOE25'!G90:G102)</f>
        <v>0</v>
      </c>
      <c r="E53" s="95">
        <f>SUM('DOE25'!H90:H102)</f>
        <v>59608.75</v>
      </c>
      <c r="F53" s="95">
        <f>SUM('DOE25'!I90:I102)</f>
        <v>0</v>
      </c>
      <c r="G53" s="95">
        <f>SUM('DOE25'!J90:J102)</f>
        <v>25106.61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3680210.5999999996</v>
      </c>
      <c r="D54" s="130">
        <f>SUM(D49:D53)</f>
        <v>1416886.7300000002</v>
      </c>
      <c r="E54" s="130">
        <f>SUM(E49:E53)</f>
        <v>59608.75</v>
      </c>
      <c r="F54" s="130">
        <f>SUM(F49:F53)</f>
        <v>0</v>
      </c>
      <c r="G54" s="130">
        <f>SUM(G49:G53)</f>
        <v>25240.43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32840702.159999996</v>
      </c>
      <c r="D55" s="22">
        <f>D48+D54</f>
        <v>1416886.7300000002</v>
      </c>
      <c r="E55" s="22">
        <f>E48+E54</f>
        <v>59608.75</v>
      </c>
      <c r="F55" s="22">
        <f>F48+F54</f>
        <v>0</v>
      </c>
      <c r="G55" s="22">
        <f>G48+G54</f>
        <v>25240.43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3842915.17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9760335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1474407.83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15077658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146458.32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760183.17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363975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2147766.84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126146.98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19200</v>
      </c>
      <c r="D69" s="95">
        <f>SUM('DOE25'!G123:G127)</f>
        <v>27842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3563730.31</v>
      </c>
      <c r="D70" s="130">
        <f>SUM(D64:D69)</f>
        <v>27842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18641388.309999999</v>
      </c>
      <c r="D73" s="130">
        <f>SUM(D71:D72)+D70+D62</f>
        <v>27842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56491.9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957566.7</v>
      </c>
      <c r="D80" s="95">
        <f>SUM('DOE25'!G145:G153)</f>
        <v>400217.27</v>
      </c>
      <c r="E80" s="95">
        <f>SUM('DOE25'!H145:H153)</f>
        <v>1820865.9800000002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1014058.6</v>
      </c>
      <c r="D83" s="131">
        <f>SUM(D77:D82)</f>
        <v>400217.27</v>
      </c>
      <c r="E83" s="131">
        <f>SUM(E77:E82)</f>
        <v>1820865.9800000002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14506398.460000001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8720.7900000000009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8720.7900000000009</v>
      </c>
      <c r="D95" s="86">
        <f>SUM(D85:D94)</f>
        <v>0</v>
      </c>
      <c r="E95" s="86">
        <f>SUM(E85:E94)</f>
        <v>0</v>
      </c>
      <c r="F95" s="86">
        <f>SUM(F85:F94)</f>
        <v>14506398.460000001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52504869.859999999</v>
      </c>
      <c r="D96" s="86">
        <f>D55+D73+D83+D95</f>
        <v>1844946.0000000002</v>
      </c>
      <c r="E96" s="86">
        <f>E55+E73+E83+E95</f>
        <v>1880474.7300000002</v>
      </c>
      <c r="F96" s="86">
        <f>F55+F73+F83+F95</f>
        <v>14506398.460000001</v>
      </c>
      <c r="G96" s="86">
        <f>G55+G73+G95</f>
        <v>25240.43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23578825.009999998</v>
      </c>
      <c r="D101" s="24" t="s">
        <v>312</v>
      </c>
      <c r="E101" s="95">
        <f>('DOE25'!L268)+('DOE25'!L287)+('DOE25'!L306)</f>
        <v>99215.02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9408887.5899999999</v>
      </c>
      <c r="D102" s="24" t="s">
        <v>312</v>
      </c>
      <c r="E102" s="95">
        <f>('DOE25'!L269)+('DOE25'!L288)+('DOE25'!L307)</f>
        <v>938138.64999999991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1640024.7699999998</v>
      </c>
      <c r="D103" s="24" t="s">
        <v>312</v>
      </c>
      <c r="E103" s="95">
        <f>('DOE25'!L270)+('DOE25'!L289)+('DOE25'!L308)</f>
        <v>196691.12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811839.52999999991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192096.42</v>
      </c>
      <c r="D106" s="24" t="s">
        <v>312</v>
      </c>
      <c r="E106" s="95">
        <f>+ SUM('DOE25'!L325:L327)</f>
        <v>157676.06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35631673.32</v>
      </c>
      <c r="D107" s="86">
        <f>SUM(D101:D106)</f>
        <v>0</v>
      </c>
      <c r="E107" s="86">
        <f>SUM(E101:E106)</f>
        <v>1391720.85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3478618.2600000002</v>
      </c>
      <c r="D110" s="24" t="s">
        <v>312</v>
      </c>
      <c r="E110" s="95">
        <f>+('DOE25'!L273)+('DOE25'!L292)+('DOE25'!L311)</f>
        <v>311003.01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1830742.1</v>
      </c>
      <c r="D111" s="24" t="s">
        <v>312</v>
      </c>
      <c r="E111" s="95">
        <f>+('DOE25'!L274)+('DOE25'!L293)+('DOE25'!L312)</f>
        <v>151847.06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765109.35999999987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2547862.23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314752.04000000004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4107606.11</v>
      </c>
      <c r="D115" s="24" t="s">
        <v>312</v>
      </c>
      <c r="E115" s="95">
        <f>+('DOE25'!L278)+('DOE25'!L297)+('DOE25'!L316)</f>
        <v>4520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2382073.7999999998</v>
      </c>
      <c r="D116" s="24" t="s">
        <v>312</v>
      </c>
      <c r="E116" s="95">
        <f>+('DOE25'!L279)+('DOE25'!L298)+('DOE25'!L317)</f>
        <v>3400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108060.95</v>
      </c>
      <c r="D117" s="24" t="s">
        <v>312</v>
      </c>
      <c r="E117" s="95">
        <f>+('DOE25'!L280)+('DOE25'!L299)+('DOE25'!L318)</f>
        <v>689.99099999999999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1840511.32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15534824.850000001</v>
      </c>
      <c r="D120" s="86">
        <f>SUM(D110:D119)</f>
        <v>1840511.32</v>
      </c>
      <c r="E120" s="86">
        <f>SUM(E110:E119)</f>
        <v>471460.06099999999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1475738.74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102600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12713.4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25240.43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-25240.43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1863338.74</v>
      </c>
      <c r="D136" s="141">
        <f>SUM(D122:D135)</f>
        <v>0</v>
      </c>
      <c r="E136" s="141">
        <f>SUM(E122:E135)</f>
        <v>12713.4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53029836.910000004</v>
      </c>
      <c r="D137" s="86">
        <f>(D107+D120+D136)</f>
        <v>1840511.32</v>
      </c>
      <c r="E137" s="86">
        <f>(E107+E120+E136)</f>
        <v>1875894.311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2565000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285000</v>
      </c>
    </row>
    <row r="151" spans="1:7" x14ac:dyDescent="0.2">
      <c r="A151" s="22" t="s">
        <v>35</v>
      </c>
      <c r="B151" s="137">
        <f>'DOE25'!F488</f>
        <v>1710000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1710000</v>
      </c>
    </row>
    <row r="152" spans="1:7" x14ac:dyDescent="0.2">
      <c r="A152" s="22" t="s">
        <v>36</v>
      </c>
      <c r="B152" s="137">
        <f>'DOE25'!F489</f>
        <v>285733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285733</v>
      </c>
    </row>
    <row r="153" spans="1:7" x14ac:dyDescent="0.2">
      <c r="A153" s="22" t="s">
        <v>37</v>
      </c>
      <c r="B153" s="137">
        <f>'DOE25'!F490</f>
        <v>1995733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1995733</v>
      </c>
    </row>
    <row r="154" spans="1:7" x14ac:dyDescent="0.2">
      <c r="A154" s="22" t="s">
        <v>38</v>
      </c>
      <c r="B154" s="137">
        <f>'DOE25'!F491</f>
        <v>285000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285000</v>
      </c>
    </row>
    <row r="155" spans="1:7" x14ac:dyDescent="0.2">
      <c r="A155" s="22" t="s">
        <v>39</v>
      </c>
      <c r="B155" s="137">
        <f>'DOE25'!F492</f>
        <v>86925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86925</v>
      </c>
    </row>
    <row r="156" spans="1:7" x14ac:dyDescent="0.2">
      <c r="A156" s="22" t="s">
        <v>269</v>
      </c>
      <c r="B156" s="137">
        <f>'DOE25'!F493</f>
        <v>371925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371925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copies="5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26FA-6948-449E-9144-E9105A0EB27A}">
  <sheetPr codeName="Sheet3">
    <tabColor indexed="43"/>
  </sheetPr>
  <dimension ref="A1:D42"/>
  <sheetViews>
    <sheetView topLeftCell="A3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Salem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10790</v>
      </c>
    </row>
    <row r="5" spans="1:4" x14ac:dyDescent="0.2">
      <c r="B5" t="s">
        <v>735</v>
      </c>
      <c r="C5" s="179">
        <f>IF('DOE25'!G655+'DOE25'!G660=0,0,ROUND('DOE25'!G662,0))</f>
        <v>8115</v>
      </c>
    </row>
    <row r="6" spans="1:4" x14ac:dyDescent="0.2">
      <c r="B6" t="s">
        <v>62</v>
      </c>
      <c r="C6" s="179">
        <f>IF('DOE25'!H655+'DOE25'!H660=0,0,ROUND('DOE25'!H662,0))</f>
        <v>10298</v>
      </c>
    </row>
    <row r="7" spans="1:4" x14ac:dyDescent="0.2">
      <c r="B7" t="s">
        <v>736</v>
      </c>
      <c r="C7" s="179">
        <f>IF('DOE25'!I655+'DOE25'!I660=0,0,ROUND('DOE25'!I662,0))</f>
        <v>9944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23678040</v>
      </c>
      <c r="D10" s="182">
        <f>ROUND((C10/$C$28)*100,1)</f>
        <v>44.2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10347026</v>
      </c>
      <c r="D11" s="182">
        <f>ROUND((C11/$C$28)*100,1)</f>
        <v>19.3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1836716</v>
      </c>
      <c r="D12" s="182">
        <f>ROUND((C12/$C$28)*100,1)</f>
        <v>3.4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811840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3789621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1982589</v>
      </c>
      <c r="D16" s="182">
        <f t="shared" si="0"/>
        <v>3.7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873860</v>
      </c>
      <c r="D17" s="182">
        <f t="shared" si="0"/>
        <v>1.6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2547862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314752</v>
      </c>
      <c r="D19" s="182">
        <f t="shared" si="0"/>
        <v>0.6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4112126</v>
      </c>
      <c r="D20" s="182">
        <f t="shared" si="0"/>
        <v>7.7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2385474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349772</v>
      </c>
      <c r="D24" s="182">
        <f t="shared" si="0"/>
        <v>0.7</v>
      </c>
    </row>
    <row r="25" spans="1:4" x14ac:dyDescent="0.2">
      <c r="A25">
        <v>5120</v>
      </c>
      <c r="B25" t="s">
        <v>751</v>
      </c>
      <c r="C25" s="179">
        <f>ROUND('DOE25'!L253+'DOE25'!L334,0)</f>
        <v>102600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425870.31999999983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53558148.32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1475739</v>
      </c>
    </row>
    <row r="30" spans="1:4" x14ac:dyDescent="0.2">
      <c r="B30" s="187" t="s">
        <v>760</v>
      </c>
      <c r="C30" s="180">
        <f>SUM(C28:C29)</f>
        <v>55033887.32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29160492</v>
      </c>
      <c r="D35" s="182">
        <f t="shared" ref="D35:D40" si="1">ROUND((C35/$C$41)*100,1)</f>
        <v>53.2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3767543.8500000015</v>
      </c>
      <c r="D36" s="182">
        <f t="shared" si="1"/>
        <v>6.9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13603250</v>
      </c>
      <c r="D37" s="182">
        <f t="shared" si="1"/>
        <v>24.8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5065980</v>
      </c>
      <c r="D38" s="182">
        <f t="shared" si="1"/>
        <v>9.1999999999999993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3235142</v>
      </c>
      <c r="D39" s="182">
        <f t="shared" si="1"/>
        <v>5.9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54832407.850000001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14506160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9CCF-24EE-4FA3-80F5-B30E2BFF11B2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Salem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80" t="s">
        <v>898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12</v>
      </c>
      <c r="C5" s="280" t="s">
        <v>899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2010-08-16T17:13:11Z</cp:lastPrinted>
  <dcterms:created xsi:type="dcterms:W3CDTF">1997-12-04T19:04:30Z</dcterms:created>
  <dcterms:modified xsi:type="dcterms:W3CDTF">2025-01-09T20:24:59Z</dcterms:modified>
</cp:coreProperties>
</file>