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622D0A4C-408A-4C84-AC75-2B233FD17655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ED0ECF45-093B-4143-B4C2-0FA9C04D2273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G497" i="1"/>
  <c r="H504" i="1"/>
  <c r="H503" i="1"/>
  <c r="F504" i="1"/>
  <c r="F503" i="1"/>
  <c r="C36" i="12"/>
  <c r="C37" i="12" s="1"/>
  <c r="C40" i="12" s="1"/>
  <c r="A40" i="12" s="1"/>
  <c r="C18" i="12"/>
  <c r="C20" i="12" s="1"/>
  <c r="C19" i="12"/>
  <c r="C21" i="12"/>
  <c r="C9" i="12"/>
  <c r="B12" i="12"/>
  <c r="B37" i="12"/>
  <c r="B10" i="12"/>
  <c r="C10" i="12" s="1"/>
  <c r="B11" i="12"/>
  <c r="B19" i="12"/>
  <c r="I225" i="1"/>
  <c r="L225" i="1" s="1"/>
  <c r="L239" i="1" s="1"/>
  <c r="H650" i="1" s="1"/>
  <c r="I207" i="1"/>
  <c r="I189" i="1"/>
  <c r="L189" i="1" s="1"/>
  <c r="J594" i="1"/>
  <c r="I594" i="1"/>
  <c r="H232" i="1"/>
  <c r="H214" i="1"/>
  <c r="L214" i="1" s="1"/>
  <c r="H196" i="1"/>
  <c r="L196" i="1" s="1"/>
  <c r="H235" i="1"/>
  <c r="H247" i="1"/>
  <c r="J210" i="1"/>
  <c r="J221" i="1" s="1"/>
  <c r="J225" i="1"/>
  <c r="J239" i="1" s="1"/>
  <c r="H225" i="1"/>
  <c r="H207" i="1"/>
  <c r="L207" i="1" s="1"/>
  <c r="H189" i="1"/>
  <c r="H195" i="1"/>
  <c r="L195" i="1"/>
  <c r="J581" i="1"/>
  <c r="K581" i="1" s="1"/>
  <c r="K588" i="1" s="1"/>
  <c r="G637" i="1" s="1"/>
  <c r="J637" i="1" s="1"/>
  <c r="H581" i="1"/>
  <c r="I581" i="1"/>
  <c r="H582" i="1"/>
  <c r="J585" i="1"/>
  <c r="K585" i="1" s="1"/>
  <c r="H513" i="1"/>
  <c r="L513" i="1" s="1"/>
  <c r="F541" i="1" s="1"/>
  <c r="J511" i="1"/>
  <c r="I511" i="1"/>
  <c r="H511" i="1"/>
  <c r="F511" i="1"/>
  <c r="G518" i="1"/>
  <c r="G517" i="1"/>
  <c r="L517" i="1" s="1"/>
  <c r="G540" i="1" s="1"/>
  <c r="G516" i="1"/>
  <c r="F518" i="1"/>
  <c r="F517" i="1"/>
  <c r="F516" i="1"/>
  <c r="J513" i="1"/>
  <c r="J514" i="1" s="1"/>
  <c r="J535" i="1" s="1"/>
  <c r="J512" i="1"/>
  <c r="I513" i="1"/>
  <c r="I512" i="1"/>
  <c r="H512" i="1"/>
  <c r="G513" i="1"/>
  <c r="G512" i="1"/>
  <c r="G511" i="1"/>
  <c r="F513" i="1"/>
  <c r="F512" i="1"/>
  <c r="H554" i="1"/>
  <c r="H516" i="1"/>
  <c r="H519" i="1" s="1"/>
  <c r="G560" i="1"/>
  <c r="G561" i="1"/>
  <c r="H552" i="1"/>
  <c r="K523" i="1"/>
  <c r="K522" i="1"/>
  <c r="K521" i="1"/>
  <c r="I522" i="1"/>
  <c r="I521" i="1"/>
  <c r="H523" i="1"/>
  <c r="H522" i="1"/>
  <c r="H521" i="1"/>
  <c r="H524" i="1" s="1"/>
  <c r="G523" i="1"/>
  <c r="L523" i="1" s="1"/>
  <c r="H541" i="1" s="1"/>
  <c r="G522" i="1"/>
  <c r="G521" i="1"/>
  <c r="L521" i="1" s="1"/>
  <c r="F521" i="1"/>
  <c r="K513" i="1"/>
  <c r="K512" i="1"/>
  <c r="K511" i="1"/>
  <c r="D9" i="13"/>
  <c r="C9" i="13" s="1"/>
  <c r="H311" i="1"/>
  <c r="H327" i="1"/>
  <c r="G449" i="1"/>
  <c r="I449" i="1" s="1"/>
  <c r="J41" i="1" s="1"/>
  <c r="G40" i="2" s="1"/>
  <c r="G432" i="1"/>
  <c r="H210" i="1"/>
  <c r="L210" i="1" s="1"/>
  <c r="H594" i="1"/>
  <c r="F488" i="1"/>
  <c r="L235" i="1"/>
  <c r="H572" i="1"/>
  <c r="H570" i="1"/>
  <c r="F572" i="1"/>
  <c r="H601" i="1"/>
  <c r="L601" i="1" s="1"/>
  <c r="H603" i="1"/>
  <c r="H602" i="1"/>
  <c r="L602" i="1" s="1"/>
  <c r="G653" i="1" s="1"/>
  <c r="G602" i="1"/>
  <c r="G601" i="1"/>
  <c r="G603" i="1" s="1"/>
  <c r="F603" i="1"/>
  <c r="F602" i="1"/>
  <c r="F601" i="1"/>
  <c r="F37" i="1"/>
  <c r="H23" i="1"/>
  <c r="F12" i="1"/>
  <c r="F9" i="1"/>
  <c r="C9" i="2" s="1"/>
  <c r="C19" i="2" s="1"/>
  <c r="C60" i="2"/>
  <c r="B2" i="13"/>
  <c r="F8" i="13"/>
  <c r="G8" i="13"/>
  <c r="L232" i="1"/>
  <c r="D39" i="13"/>
  <c r="F13" i="13"/>
  <c r="G13" i="13"/>
  <c r="L198" i="1"/>
  <c r="L216" i="1"/>
  <c r="E13" i="13" s="1"/>
  <c r="C13" i="13" s="1"/>
  <c r="L234" i="1"/>
  <c r="F16" i="13"/>
  <c r="G16" i="13"/>
  <c r="E16" i="13"/>
  <c r="C16" i="13" s="1"/>
  <c r="L201" i="1"/>
  <c r="L219" i="1"/>
  <c r="L237" i="1"/>
  <c r="G5" i="13"/>
  <c r="L190" i="1"/>
  <c r="L191" i="1"/>
  <c r="C103" i="2" s="1"/>
  <c r="L192" i="1"/>
  <c r="L208" i="1"/>
  <c r="L209" i="1"/>
  <c r="L226" i="1"/>
  <c r="C102" i="2" s="1"/>
  <c r="L227" i="1"/>
  <c r="L228" i="1"/>
  <c r="F6" i="13"/>
  <c r="G6" i="13"/>
  <c r="L194" i="1"/>
  <c r="L212" i="1"/>
  <c r="L230" i="1"/>
  <c r="F7" i="13"/>
  <c r="G7" i="13"/>
  <c r="L213" i="1"/>
  <c r="L231" i="1"/>
  <c r="F12" i="13"/>
  <c r="G12" i="13"/>
  <c r="L197" i="1"/>
  <c r="L215" i="1"/>
  <c r="C113" i="2" s="1"/>
  <c r="L233" i="1"/>
  <c r="D12" i="13" s="1"/>
  <c r="C12" i="13" s="1"/>
  <c r="F14" i="13"/>
  <c r="G14" i="13"/>
  <c r="L199" i="1"/>
  <c r="L217" i="1"/>
  <c r="F15" i="13"/>
  <c r="G15" i="13"/>
  <c r="L200" i="1"/>
  <c r="L218" i="1"/>
  <c r="L236" i="1"/>
  <c r="C21" i="10" s="1"/>
  <c r="F17" i="13"/>
  <c r="G17" i="13"/>
  <c r="L243" i="1"/>
  <c r="C106" i="2" s="1"/>
  <c r="F18" i="13"/>
  <c r="G18" i="13"/>
  <c r="L244" i="1"/>
  <c r="F19" i="13"/>
  <c r="G19" i="13"/>
  <c r="L245" i="1"/>
  <c r="D19" i="13"/>
  <c r="C19" i="13" s="1"/>
  <c r="F29" i="13"/>
  <c r="G29" i="13"/>
  <c r="L350" i="1"/>
  <c r="L351" i="1"/>
  <c r="L354" i="1" s="1"/>
  <c r="L352" i="1"/>
  <c r="I359" i="1"/>
  <c r="J282" i="1"/>
  <c r="J301" i="1"/>
  <c r="J320" i="1"/>
  <c r="K282" i="1"/>
  <c r="K301" i="1"/>
  <c r="K320" i="1"/>
  <c r="G31" i="13"/>
  <c r="L268" i="1"/>
  <c r="L282" i="1" s="1"/>
  <c r="L269" i="1"/>
  <c r="L270" i="1"/>
  <c r="E103" i="2" s="1"/>
  <c r="L271" i="1"/>
  <c r="L273" i="1"/>
  <c r="L274" i="1"/>
  <c r="L275" i="1"/>
  <c r="L276" i="1"/>
  <c r="L277" i="1"/>
  <c r="L278" i="1"/>
  <c r="L279" i="1"/>
  <c r="E116" i="2" s="1"/>
  <c r="L280" i="1"/>
  <c r="E117" i="2" s="1"/>
  <c r="L287" i="1"/>
  <c r="L288" i="1"/>
  <c r="L301" i="1" s="1"/>
  <c r="L289" i="1"/>
  <c r="L290" i="1"/>
  <c r="E104" i="2" s="1"/>
  <c r="L292" i="1"/>
  <c r="E110" i="2" s="1"/>
  <c r="E120" i="2" s="1"/>
  <c r="L293" i="1"/>
  <c r="L294" i="1"/>
  <c r="L295" i="1"/>
  <c r="E113" i="2" s="1"/>
  <c r="L296" i="1"/>
  <c r="L297" i="1"/>
  <c r="E115" i="2" s="1"/>
  <c r="L298" i="1"/>
  <c r="G652" i="1" s="1"/>
  <c r="L299" i="1"/>
  <c r="L306" i="1"/>
  <c r="L307" i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C32" i="10" s="1"/>
  <c r="L253" i="1"/>
  <c r="L333" i="1"/>
  <c r="L334" i="1"/>
  <c r="H25" i="13" s="1"/>
  <c r="L343" i="1"/>
  <c r="L247" i="1"/>
  <c r="L328" i="1"/>
  <c r="C11" i="13"/>
  <c r="C10" i="13"/>
  <c r="L353" i="1"/>
  <c r="B4" i="12"/>
  <c r="B36" i="12"/>
  <c r="B40" i="12"/>
  <c r="B27" i="12"/>
  <c r="A31" i="12" s="1"/>
  <c r="C27" i="12"/>
  <c r="B31" i="12"/>
  <c r="C31" i="12"/>
  <c r="B9" i="12"/>
  <c r="B13" i="12"/>
  <c r="C11" i="12" s="1"/>
  <c r="B18" i="12"/>
  <c r="B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3" i="1" s="1"/>
  <c r="C131" i="2" s="1"/>
  <c r="L391" i="1"/>
  <c r="L392" i="1"/>
  <c r="L395" i="1"/>
  <c r="L396" i="1"/>
  <c r="L399" i="1" s="1"/>
  <c r="C132" i="2" s="1"/>
  <c r="L397" i="1"/>
  <c r="L398" i="1"/>
  <c r="L258" i="1"/>
  <c r="J52" i="1"/>
  <c r="J104" i="1" s="1"/>
  <c r="G48" i="2"/>
  <c r="G51" i="2"/>
  <c r="G54" i="2" s="1"/>
  <c r="G53" i="2"/>
  <c r="F2" i="11"/>
  <c r="C40" i="10"/>
  <c r="F52" i="1"/>
  <c r="C48" i="2"/>
  <c r="G52" i="1"/>
  <c r="H52" i="1"/>
  <c r="E48" i="2"/>
  <c r="I52" i="1"/>
  <c r="C35" i="10" s="1"/>
  <c r="F71" i="1"/>
  <c r="F86" i="1"/>
  <c r="C50" i="2" s="1"/>
  <c r="F103" i="1"/>
  <c r="F104" i="1"/>
  <c r="G103" i="1"/>
  <c r="G104" i="1"/>
  <c r="H71" i="1"/>
  <c r="H86" i="1"/>
  <c r="H103" i="1"/>
  <c r="H104" i="1"/>
  <c r="I103" i="1"/>
  <c r="J103" i="1"/>
  <c r="C37" i="10"/>
  <c r="F113" i="1"/>
  <c r="F128" i="1"/>
  <c r="G113" i="1"/>
  <c r="G132" i="1" s="1"/>
  <c r="G185" i="1" s="1"/>
  <c r="G128" i="1"/>
  <c r="H113" i="1"/>
  <c r="H128" i="1"/>
  <c r="H132" i="1" s="1"/>
  <c r="I113" i="1"/>
  <c r="I132" i="1" s="1"/>
  <c r="I128" i="1"/>
  <c r="J113" i="1"/>
  <c r="J132" i="1" s="1"/>
  <c r="J128" i="1"/>
  <c r="F139" i="1"/>
  <c r="F161" i="1" s="1"/>
  <c r="F154" i="1"/>
  <c r="G139" i="1"/>
  <c r="G154" i="1"/>
  <c r="G161" i="1" s="1"/>
  <c r="H139" i="1"/>
  <c r="H161" i="1" s="1"/>
  <c r="H154" i="1"/>
  <c r="I139" i="1"/>
  <c r="F77" i="2" s="1"/>
  <c r="F83" i="2" s="1"/>
  <c r="I154" i="1"/>
  <c r="C12" i="10"/>
  <c r="L242" i="1"/>
  <c r="L324" i="1"/>
  <c r="C23" i="10"/>
  <c r="L246" i="1"/>
  <c r="L260" i="1"/>
  <c r="L261" i="1"/>
  <c r="C135" i="2" s="1"/>
  <c r="C26" i="10"/>
  <c r="L341" i="1"/>
  <c r="L342" i="1"/>
  <c r="E135" i="2" s="1"/>
  <c r="I655" i="1"/>
  <c r="I660" i="1"/>
  <c r="I659" i="1"/>
  <c r="C42" i="10"/>
  <c r="L366" i="1"/>
  <c r="L367" i="1"/>
  <c r="F122" i="2" s="1"/>
  <c r="F136" i="2" s="1"/>
  <c r="F137" i="2" s="1"/>
  <c r="L368" i="1"/>
  <c r="L369" i="1"/>
  <c r="L370" i="1"/>
  <c r="L374" i="1" s="1"/>
  <c r="G626" i="1" s="1"/>
  <c r="J626" i="1" s="1"/>
  <c r="L371" i="1"/>
  <c r="L372" i="1"/>
  <c r="B2" i="10"/>
  <c r="L336" i="1"/>
  <c r="L337" i="1"/>
  <c r="L338" i="1"/>
  <c r="L339" i="1"/>
  <c r="K343" i="1"/>
  <c r="L511" i="1"/>
  <c r="F539" i="1" s="1"/>
  <c r="L512" i="1"/>
  <c r="F540" i="1"/>
  <c r="L518" i="1"/>
  <c r="G541" i="1" s="1"/>
  <c r="L522" i="1"/>
  <c r="H540" i="1" s="1"/>
  <c r="L526" i="1"/>
  <c r="I539" i="1"/>
  <c r="I542" i="1" s="1"/>
  <c r="L527" i="1"/>
  <c r="I540" i="1"/>
  <c r="L528" i="1"/>
  <c r="I541" i="1" s="1"/>
  <c r="L531" i="1"/>
  <c r="J539" i="1"/>
  <c r="L532" i="1"/>
  <c r="J540" i="1" s="1"/>
  <c r="J542" i="1" s="1"/>
  <c r="L533" i="1"/>
  <c r="J541" i="1" s="1"/>
  <c r="E124" i="2"/>
  <c r="E123" i="2"/>
  <c r="K262" i="1"/>
  <c r="J262" i="1"/>
  <c r="L262" i="1" s="1"/>
  <c r="I262" i="1"/>
  <c r="H262" i="1"/>
  <c r="G262" i="1"/>
  <c r="F262" i="1"/>
  <c r="C124" i="2"/>
  <c r="A1" i="2"/>
  <c r="A2" i="2"/>
  <c r="D9" i="2"/>
  <c r="D19" i="2" s="1"/>
  <c r="E9" i="2"/>
  <c r="F9" i="2"/>
  <c r="F10" i="2"/>
  <c r="F12" i="2"/>
  <c r="F13" i="2"/>
  <c r="F14" i="2"/>
  <c r="F15" i="2"/>
  <c r="F16" i="2"/>
  <c r="F17" i="2"/>
  <c r="F18" i="2"/>
  <c r="F19" i="2"/>
  <c r="I431" i="1"/>
  <c r="I438" i="1" s="1"/>
  <c r="G632" i="1" s="1"/>
  <c r="C10" i="2"/>
  <c r="D10" i="2"/>
  <c r="E10" i="2"/>
  <c r="I432" i="1"/>
  <c r="J10" i="1"/>
  <c r="G10" i="2" s="1"/>
  <c r="C11" i="2"/>
  <c r="C12" i="2"/>
  <c r="D12" i="2"/>
  <c r="E12" i="2"/>
  <c r="E19" i="2" s="1"/>
  <c r="I433" i="1"/>
  <c r="J12" i="1" s="1"/>
  <c r="G12" i="2" s="1"/>
  <c r="C13" i="2"/>
  <c r="D13" i="2"/>
  <c r="E13" i="2"/>
  <c r="I434" i="1"/>
  <c r="J13" i="1"/>
  <c r="G13" i="2" s="1"/>
  <c r="C14" i="2"/>
  <c r="D14" i="2"/>
  <c r="E14" i="2"/>
  <c r="I435" i="1"/>
  <c r="J14" i="1" s="1"/>
  <c r="G14" i="2" s="1"/>
  <c r="C16" i="2"/>
  <c r="D16" i="2"/>
  <c r="D17" i="2"/>
  <c r="D18" i="2"/>
  <c r="E16" i="2"/>
  <c r="C17" i="2"/>
  <c r="E17" i="2"/>
  <c r="I436" i="1"/>
  <c r="J17" i="1"/>
  <c r="G17" i="2" s="1"/>
  <c r="C18" i="2"/>
  <c r="E18" i="2"/>
  <c r="I437" i="1"/>
  <c r="J18" i="1"/>
  <c r="G18" i="2"/>
  <c r="C22" i="2"/>
  <c r="C32" i="2" s="1"/>
  <c r="D22" i="2"/>
  <c r="E22" i="2"/>
  <c r="E32" i="2" s="1"/>
  <c r="F22" i="2"/>
  <c r="I440" i="1"/>
  <c r="J23" i="1"/>
  <c r="G22" i="2" s="1"/>
  <c r="C23" i="2"/>
  <c r="D23" i="2"/>
  <c r="D32" i="2" s="1"/>
  <c r="E23" i="2"/>
  <c r="F23" i="2"/>
  <c r="I441" i="1"/>
  <c r="J24" i="1"/>
  <c r="G23" i="2" s="1"/>
  <c r="C24" i="2"/>
  <c r="D24" i="2"/>
  <c r="E24" i="2"/>
  <c r="F24" i="2"/>
  <c r="F32" i="2" s="1"/>
  <c r="I442" i="1"/>
  <c r="I444" i="1" s="1"/>
  <c r="C25" i="2"/>
  <c r="D25" i="2"/>
  <c r="E25" i="2"/>
  <c r="F25" i="2"/>
  <c r="C26" i="2"/>
  <c r="C27" i="2"/>
  <c r="C28" i="2"/>
  <c r="C29" i="2"/>
  <c r="C30" i="2"/>
  <c r="C31" i="2"/>
  <c r="F26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I443" i="1"/>
  <c r="J32" i="1"/>
  <c r="G31" i="2"/>
  <c r="C34" i="2"/>
  <c r="D34" i="2"/>
  <c r="E34" i="2"/>
  <c r="F34" i="2"/>
  <c r="C35" i="2"/>
  <c r="D35" i="2"/>
  <c r="D42" i="2" s="1"/>
  <c r="D43" i="2" s="1"/>
  <c r="E35" i="2"/>
  <c r="F35" i="2"/>
  <c r="C36" i="2"/>
  <c r="D36" i="2"/>
  <c r="E36" i="2"/>
  <c r="F36" i="2"/>
  <c r="I446" i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/>
  <c r="G39" i="2" s="1"/>
  <c r="C40" i="2"/>
  <c r="F40" i="2"/>
  <c r="F42" i="2" s="1"/>
  <c r="F43" i="2" s="1"/>
  <c r="F41" i="2"/>
  <c r="D41" i="2"/>
  <c r="E41" i="2"/>
  <c r="D48" i="2"/>
  <c r="D55" i="2" s="1"/>
  <c r="D96" i="2" s="1"/>
  <c r="C49" i="2"/>
  <c r="C54" i="2" s="1"/>
  <c r="C55" i="2" s="1"/>
  <c r="C96" i="2" s="1"/>
  <c r="E49" i="2"/>
  <c r="E54" i="2" s="1"/>
  <c r="E55" i="2" s="1"/>
  <c r="E50" i="2"/>
  <c r="E51" i="2"/>
  <c r="E53" i="2"/>
  <c r="C51" i="2"/>
  <c r="D51" i="2"/>
  <c r="F51" i="2"/>
  <c r="F54" i="2" s="1"/>
  <c r="F53" i="2"/>
  <c r="F64" i="2"/>
  <c r="F70" i="2" s="1"/>
  <c r="F73" i="2" s="1"/>
  <c r="F65" i="2"/>
  <c r="F68" i="2"/>
  <c r="F69" i="2"/>
  <c r="F61" i="2"/>
  <c r="F62" i="2"/>
  <c r="F79" i="2"/>
  <c r="F80" i="2"/>
  <c r="F81" i="2"/>
  <c r="F85" i="2"/>
  <c r="F86" i="2"/>
  <c r="F88" i="2"/>
  <c r="F89" i="2"/>
  <c r="F91" i="2"/>
  <c r="F92" i="2"/>
  <c r="F93" i="2"/>
  <c r="F94" i="2"/>
  <c r="F95" i="2"/>
  <c r="D52" i="2"/>
  <c r="D54" i="2" s="1"/>
  <c r="C53" i="2"/>
  <c r="D53" i="2"/>
  <c r="C58" i="2"/>
  <c r="C59" i="2"/>
  <c r="C61" i="2"/>
  <c r="D61" i="2"/>
  <c r="D62" i="2"/>
  <c r="D73" i="2" s="1"/>
  <c r="E61" i="2"/>
  <c r="E62" i="2" s="1"/>
  <c r="E73" i="2" s="1"/>
  <c r="G61" i="2"/>
  <c r="G62" i="2" s="1"/>
  <c r="C64" i="2"/>
  <c r="C65" i="2"/>
  <c r="C70" i="2" s="1"/>
  <c r="C73" i="2" s="1"/>
  <c r="C66" i="2"/>
  <c r="C67" i="2"/>
  <c r="C68" i="2"/>
  <c r="E68" i="2"/>
  <c r="E69" i="2"/>
  <c r="E70" i="2"/>
  <c r="E71" i="2"/>
  <c r="E72" i="2"/>
  <c r="C69" i="2"/>
  <c r="C71" i="2"/>
  <c r="C72" i="2"/>
  <c r="C62" i="2"/>
  <c r="D69" i="2"/>
  <c r="D70" i="2"/>
  <c r="D71" i="2"/>
  <c r="G69" i="2"/>
  <c r="G70" i="2"/>
  <c r="G73" i="2" s="1"/>
  <c r="C77" i="2"/>
  <c r="C83" i="2" s="1"/>
  <c r="D77" i="2"/>
  <c r="D83" i="2" s="1"/>
  <c r="E77" i="2"/>
  <c r="C79" i="2"/>
  <c r="E79" i="2"/>
  <c r="C80" i="2"/>
  <c r="D80" i="2"/>
  <c r="E80" i="2"/>
  <c r="C81" i="2"/>
  <c r="D81" i="2"/>
  <c r="E81" i="2"/>
  <c r="C82" i="2"/>
  <c r="C85" i="2"/>
  <c r="C95" i="2" s="1"/>
  <c r="C86" i="2"/>
  <c r="D88" i="2"/>
  <c r="D95" i="2" s="1"/>
  <c r="E88" i="2"/>
  <c r="G88" i="2"/>
  <c r="C89" i="2"/>
  <c r="C90" i="2"/>
  <c r="C91" i="2"/>
  <c r="C92" i="2"/>
  <c r="C93" i="2"/>
  <c r="C94" i="2"/>
  <c r="D89" i="2"/>
  <c r="E89" i="2"/>
  <c r="G89" i="2"/>
  <c r="G95" i="2" s="1"/>
  <c r="G90" i="2"/>
  <c r="D90" i="2"/>
  <c r="E90" i="2"/>
  <c r="E95" i="2" s="1"/>
  <c r="D91" i="2"/>
  <c r="E91" i="2"/>
  <c r="D92" i="2"/>
  <c r="E92" i="2"/>
  <c r="D93" i="2"/>
  <c r="E93" i="2"/>
  <c r="D94" i="2"/>
  <c r="E94" i="2"/>
  <c r="C105" i="2"/>
  <c r="D107" i="2"/>
  <c r="F107" i="2"/>
  <c r="G107" i="2"/>
  <c r="E111" i="2"/>
  <c r="E112" i="2"/>
  <c r="E114" i="2"/>
  <c r="C117" i="2"/>
  <c r="D126" i="2"/>
  <c r="D136" i="2"/>
  <c r="F120" i="2"/>
  <c r="G120" i="2"/>
  <c r="C122" i="2"/>
  <c r="E122" i="2"/>
  <c r="F126" i="2"/>
  <c r="E126" i="2"/>
  <c r="K411" i="1"/>
  <c r="K426" i="1"/>
  <c r="G126" i="2"/>
  <c r="G136" i="2" s="1"/>
  <c r="K419" i="1"/>
  <c r="K425" i="1"/>
  <c r="L255" i="1"/>
  <c r="C127" i="2" s="1"/>
  <c r="E127" i="2"/>
  <c r="L256" i="1"/>
  <c r="C128" i="2"/>
  <c r="L257" i="1"/>
  <c r="C129" i="2"/>
  <c r="E129" i="2"/>
  <c r="C134" i="2"/>
  <c r="E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 s="1"/>
  <c r="B151" i="2"/>
  <c r="C151" i="2"/>
  <c r="G151" i="2" s="1"/>
  <c r="D151" i="2"/>
  <c r="E151" i="2"/>
  <c r="F151" i="2"/>
  <c r="B152" i="2"/>
  <c r="C152" i="2"/>
  <c r="D152" i="2"/>
  <c r="G152" i="2" s="1"/>
  <c r="E152" i="2"/>
  <c r="F152" i="2"/>
  <c r="F490" i="1"/>
  <c r="K490" i="1" s="1"/>
  <c r="B153" i="2"/>
  <c r="G153" i="2" s="1"/>
  <c r="G490" i="1"/>
  <c r="C153" i="2"/>
  <c r="D153" i="2"/>
  <c r="F153" i="2"/>
  <c r="H490" i="1"/>
  <c r="I490" i="1"/>
  <c r="E153" i="2" s="1"/>
  <c r="J490" i="1"/>
  <c r="B154" i="2"/>
  <c r="C154" i="2"/>
  <c r="D154" i="2"/>
  <c r="E154" i="2"/>
  <c r="F154" i="2"/>
  <c r="G154" i="2"/>
  <c r="B155" i="2"/>
  <c r="C155" i="2"/>
  <c r="G155" i="2" s="1"/>
  <c r="D155" i="2"/>
  <c r="E155" i="2"/>
  <c r="F155" i="2"/>
  <c r="F493" i="1"/>
  <c r="K493" i="1" s="1"/>
  <c r="B156" i="2"/>
  <c r="C156" i="2"/>
  <c r="E156" i="2"/>
  <c r="F156" i="2"/>
  <c r="G493" i="1"/>
  <c r="H493" i="1"/>
  <c r="D156" i="2" s="1"/>
  <c r="I493" i="1"/>
  <c r="J493" i="1"/>
  <c r="F19" i="1"/>
  <c r="F42" i="1" s="1"/>
  <c r="G19" i="1"/>
  <c r="H19" i="1"/>
  <c r="G609" i="1" s="1"/>
  <c r="I19" i="1"/>
  <c r="G610" i="1" s="1"/>
  <c r="J610" i="1" s="1"/>
  <c r="F33" i="1"/>
  <c r="G33" i="1"/>
  <c r="H33" i="1"/>
  <c r="I33" i="1"/>
  <c r="I43" i="1"/>
  <c r="I44" i="1"/>
  <c r="H610" i="1"/>
  <c r="F169" i="1"/>
  <c r="I169" i="1"/>
  <c r="F175" i="1"/>
  <c r="F184" i="1" s="1"/>
  <c r="G175" i="1"/>
  <c r="G184" i="1" s="1"/>
  <c r="H175" i="1"/>
  <c r="H184" i="1"/>
  <c r="I175" i="1"/>
  <c r="I184" i="1" s="1"/>
  <c r="J175" i="1"/>
  <c r="J184" i="1"/>
  <c r="F180" i="1"/>
  <c r="G180" i="1"/>
  <c r="H180" i="1"/>
  <c r="I180" i="1"/>
  <c r="F203" i="1"/>
  <c r="F249" i="1" s="1"/>
  <c r="F263" i="1" s="1"/>
  <c r="G203" i="1"/>
  <c r="H203" i="1"/>
  <c r="J203" i="1"/>
  <c r="K203" i="1"/>
  <c r="F221" i="1"/>
  <c r="G221" i="1"/>
  <c r="I221" i="1"/>
  <c r="K221" i="1"/>
  <c r="F239" i="1"/>
  <c r="G239" i="1"/>
  <c r="H239" i="1"/>
  <c r="K239" i="1"/>
  <c r="F248" i="1"/>
  <c r="G248" i="1"/>
  <c r="L248" i="1" s="1"/>
  <c r="H248" i="1"/>
  <c r="I248" i="1"/>
  <c r="J248" i="1"/>
  <c r="K248" i="1"/>
  <c r="F282" i="1"/>
  <c r="F330" i="1" s="1"/>
  <c r="F344" i="1" s="1"/>
  <c r="G282" i="1"/>
  <c r="H282" i="1"/>
  <c r="I282" i="1"/>
  <c r="I330" i="1" s="1"/>
  <c r="I344" i="1" s="1"/>
  <c r="F301" i="1"/>
  <c r="G301" i="1"/>
  <c r="H301" i="1"/>
  <c r="H330" i="1" s="1"/>
  <c r="H344" i="1" s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K330" i="1"/>
  <c r="K344" i="1" s="1"/>
  <c r="J330" i="1"/>
  <c r="J344" i="1"/>
  <c r="F354" i="1"/>
  <c r="G354" i="1"/>
  <c r="H354" i="1"/>
  <c r="I354" i="1"/>
  <c r="G624" i="1" s="1"/>
  <c r="J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J635" i="1" s="1"/>
  <c r="H393" i="1"/>
  <c r="H400" i="1" s="1"/>
  <c r="H634" i="1" s="1"/>
  <c r="I393" i="1"/>
  <c r="F399" i="1"/>
  <c r="G399" i="1"/>
  <c r="H399" i="1"/>
  <c r="I399" i="1"/>
  <c r="I400" i="1"/>
  <c r="L405" i="1"/>
  <c r="L411" i="1" s="1"/>
  <c r="L406" i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J426" i="1" s="1"/>
  <c r="F438" i="1"/>
  <c r="G629" i="1" s="1"/>
  <c r="J629" i="1" s="1"/>
  <c r="G438" i="1"/>
  <c r="H438" i="1"/>
  <c r="G631" i="1"/>
  <c r="F444" i="1"/>
  <c r="F451" i="1" s="1"/>
  <c r="H629" i="1" s="1"/>
  <c r="G444" i="1"/>
  <c r="H444" i="1"/>
  <c r="F450" i="1"/>
  <c r="H450" i="1"/>
  <c r="H451" i="1"/>
  <c r="H631" i="1" s="1"/>
  <c r="J631" i="1" s="1"/>
  <c r="I460" i="1"/>
  <c r="I464" i="1"/>
  <c r="I466" i="1"/>
  <c r="H615" i="1" s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K514" i="1"/>
  <c r="F519" i="1"/>
  <c r="G519" i="1"/>
  <c r="I519" i="1"/>
  <c r="J519" i="1"/>
  <c r="K519" i="1"/>
  <c r="K535" i="1" s="1"/>
  <c r="F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50" i="1"/>
  <c r="L548" i="1"/>
  <c r="L549" i="1"/>
  <c r="F550" i="1"/>
  <c r="F561" i="1" s="1"/>
  <c r="G550" i="1"/>
  <c r="H550" i="1"/>
  <c r="I550" i="1"/>
  <c r="I561" i="1" s="1"/>
  <c r="J550" i="1"/>
  <c r="J561" i="1" s="1"/>
  <c r="K550" i="1"/>
  <c r="L552" i="1"/>
  <c r="L553" i="1"/>
  <c r="L554" i="1"/>
  <c r="F555" i="1"/>
  <c r="G555" i="1"/>
  <c r="H555" i="1"/>
  <c r="I555" i="1"/>
  <c r="J555" i="1"/>
  <c r="K555" i="1"/>
  <c r="K561" i="1" s="1"/>
  <c r="L557" i="1"/>
  <c r="L560" i="1" s="1"/>
  <c r="L561" i="1" s="1"/>
  <c r="L558" i="1"/>
  <c r="L559" i="1"/>
  <c r="F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6" i="1"/>
  <c r="K587" i="1"/>
  <c r="H588" i="1"/>
  <c r="H639" i="1" s="1"/>
  <c r="J639" i="1" s="1"/>
  <c r="J588" i="1"/>
  <c r="H641" i="1" s="1"/>
  <c r="K592" i="1"/>
  <c r="K595" i="1" s="1"/>
  <c r="G638" i="1" s="1"/>
  <c r="K593" i="1"/>
  <c r="K594" i="1"/>
  <c r="H595" i="1"/>
  <c r="I595" i="1"/>
  <c r="J595" i="1"/>
  <c r="F604" i="1"/>
  <c r="I604" i="1"/>
  <c r="J604" i="1"/>
  <c r="K604" i="1"/>
  <c r="G615" i="1"/>
  <c r="H620" i="1"/>
  <c r="H626" i="1"/>
  <c r="H628" i="1"/>
  <c r="G630" i="1"/>
  <c r="G633" i="1"/>
  <c r="G634" i="1"/>
  <c r="J634" i="1" s="1"/>
  <c r="H637" i="1"/>
  <c r="G639" i="1"/>
  <c r="G640" i="1"/>
  <c r="G641" i="1"/>
  <c r="G642" i="1"/>
  <c r="H642" i="1"/>
  <c r="J642" i="1" s="1"/>
  <c r="G643" i="1"/>
  <c r="H643" i="1"/>
  <c r="J643" i="1"/>
  <c r="G644" i="1"/>
  <c r="H644" i="1"/>
  <c r="J644" i="1"/>
  <c r="G645" i="1"/>
  <c r="H645" i="1"/>
  <c r="J645" i="1"/>
  <c r="G148" i="2"/>
  <c r="E83" i="2"/>
  <c r="D18" i="13"/>
  <c r="C18" i="13"/>
  <c r="D15" i="13"/>
  <c r="C15" i="13"/>
  <c r="D6" i="13"/>
  <c r="C6" i="13" s="1"/>
  <c r="G635" i="1"/>
  <c r="E105" i="2"/>
  <c r="F652" i="1"/>
  <c r="C24" i="10"/>
  <c r="C18" i="10"/>
  <c r="F31" i="13"/>
  <c r="F132" i="1"/>
  <c r="C110" i="2"/>
  <c r="G330" i="1"/>
  <c r="G344" i="1"/>
  <c r="C19" i="10"/>
  <c r="G33" i="13"/>
  <c r="L320" i="1"/>
  <c r="K249" i="1"/>
  <c r="K263" i="1"/>
  <c r="G651" i="1"/>
  <c r="D29" i="13"/>
  <c r="C29" i="13" s="1"/>
  <c r="C15" i="10"/>
  <c r="G249" i="1"/>
  <c r="G263" i="1" s="1"/>
  <c r="C11" i="10"/>
  <c r="I588" i="1"/>
  <c r="H640" i="1" s="1"/>
  <c r="J640" i="1" s="1"/>
  <c r="G41" i="1"/>
  <c r="D40" i="2" s="1"/>
  <c r="G608" i="1"/>
  <c r="H41" i="1"/>
  <c r="E40" i="2" s="1"/>
  <c r="G43" i="1"/>
  <c r="H43" i="1"/>
  <c r="H44" i="1" s="1"/>
  <c r="H609" i="1" s="1"/>
  <c r="G613" i="1"/>
  <c r="G44" i="1"/>
  <c r="H608" i="1" s="1"/>
  <c r="C115" i="2"/>
  <c r="D14" i="13"/>
  <c r="C14" i="13"/>
  <c r="F22" i="13"/>
  <c r="C22" i="13" s="1"/>
  <c r="C16" i="10"/>
  <c r="D7" i="13"/>
  <c r="C7" i="13" s="1"/>
  <c r="C111" i="2"/>
  <c r="L534" i="1"/>
  <c r="I514" i="1"/>
  <c r="I535" i="1" s="1"/>
  <c r="L555" i="1"/>
  <c r="H561" i="1"/>
  <c r="F535" i="1"/>
  <c r="I652" i="1" l="1"/>
  <c r="E42" i="2"/>
  <c r="E43" i="2" s="1"/>
  <c r="G625" i="1"/>
  <c r="G462" i="1"/>
  <c r="C27" i="10"/>
  <c r="F542" i="1"/>
  <c r="C112" i="2"/>
  <c r="C17" i="10"/>
  <c r="E8" i="13"/>
  <c r="L426" i="1"/>
  <c r="G628" i="1" s="1"/>
  <c r="J628" i="1" s="1"/>
  <c r="C130" i="2"/>
  <c r="C133" i="2" s="1"/>
  <c r="L400" i="1"/>
  <c r="K540" i="1"/>
  <c r="C22" i="12"/>
  <c r="A22" i="12" s="1"/>
  <c r="C41" i="2"/>
  <c r="C42" i="2" s="1"/>
  <c r="C43" i="2" s="1"/>
  <c r="F43" i="1"/>
  <c r="H185" i="1"/>
  <c r="D31" i="13"/>
  <c r="C31" i="13" s="1"/>
  <c r="L330" i="1"/>
  <c r="L344" i="1" s="1"/>
  <c r="F653" i="1"/>
  <c r="I653" i="1" s="1"/>
  <c r="L604" i="1"/>
  <c r="I450" i="1"/>
  <c r="I451" i="1" s="1"/>
  <c r="H632" i="1" s="1"/>
  <c r="J632" i="1" s="1"/>
  <c r="L203" i="1"/>
  <c r="C101" i="2"/>
  <c r="C107" i="2" s="1"/>
  <c r="C10" i="10"/>
  <c r="J608" i="1"/>
  <c r="L221" i="1"/>
  <c r="G650" i="1" s="1"/>
  <c r="G654" i="1" s="1"/>
  <c r="G458" i="1"/>
  <c r="G618" i="1"/>
  <c r="H654" i="1"/>
  <c r="J615" i="1"/>
  <c r="G156" i="2"/>
  <c r="E136" i="2"/>
  <c r="G55" i="2"/>
  <c r="G96" i="2" s="1"/>
  <c r="H539" i="1"/>
  <c r="H542" i="1" s="1"/>
  <c r="L524" i="1"/>
  <c r="K541" i="1"/>
  <c r="J249" i="1"/>
  <c r="L603" i="1"/>
  <c r="H653" i="1" s="1"/>
  <c r="G604" i="1"/>
  <c r="C38" i="10"/>
  <c r="E96" i="2"/>
  <c r="J185" i="1"/>
  <c r="C25" i="13"/>
  <c r="H33" i="13"/>
  <c r="C12" i="12"/>
  <c r="C13" i="12"/>
  <c r="A13" i="12" s="1"/>
  <c r="J641" i="1"/>
  <c r="J609" i="1"/>
  <c r="G137" i="2"/>
  <c r="C39" i="10"/>
  <c r="C104" i="2"/>
  <c r="C13" i="10"/>
  <c r="G607" i="1"/>
  <c r="C29" i="10"/>
  <c r="C114" i="2"/>
  <c r="C120" i="2" s="1"/>
  <c r="G450" i="1"/>
  <c r="G451" i="1" s="1"/>
  <c r="H630" i="1" s="1"/>
  <c r="J630" i="1" s="1"/>
  <c r="H221" i="1"/>
  <c r="H249" i="1" s="1"/>
  <c r="H263" i="1" s="1"/>
  <c r="J25" i="1"/>
  <c r="G24" i="2" s="1"/>
  <c r="G32" i="2" s="1"/>
  <c r="J9" i="1"/>
  <c r="I161" i="1"/>
  <c r="H514" i="1"/>
  <c r="H535" i="1" s="1"/>
  <c r="G614" i="1"/>
  <c r="F5" i="13"/>
  <c r="L516" i="1"/>
  <c r="L514" i="1"/>
  <c r="D17" i="13"/>
  <c r="C17" i="13" s="1"/>
  <c r="F651" i="1"/>
  <c r="I651" i="1" s="1"/>
  <c r="H604" i="1"/>
  <c r="F48" i="2"/>
  <c r="F55" i="2" s="1"/>
  <c r="F96" i="2" s="1"/>
  <c r="H652" i="1"/>
  <c r="F185" i="1"/>
  <c r="E101" i="2"/>
  <c r="E107" i="2" s="1"/>
  <c r="E137" i="2" s="1"/>
  <c r="G524" i="1"/>
  <c r="G535" i="1" s="1"/>
  <c r="C25" i="10"/>
  <c r="H651" i="1"/>
  <c r="E102" i="2"/>
  <c r="I239" i="1"/>
  <c r="I203" i="1"/>
  <c r="I249" i="1" s="1"/>
  <c r="I263" i="1" s="1"/>
  <c r="D119" i="2"/>
  <c r="D120" i="2" s="1"/>
  <c r="D137" i="2" s="1"/>
  <c r="J37" i="1"/>
  <c r="C123" i="2"/>
  <c r="C116" i="2"/>
  <c r="I104" i="1"/>
  <c r="I185" i="1" s="1"/>
  <c r="G620" i="1" s="1"/>
  <c r="J620" i="1" s="1"/>
  <c r="C20" i="10"/>
  <c r="F458" i="1" l="1"/>
  <c r="G617" i="1"/>
  <c r="C36" i="10"/>
  <c r="C28" i="10"/>
  <c r="D10" i="10"/>
  <c r="G612" i="1"/>
  <c r="F44" i="1"/>
  <c r="H607" i="1" s="1"/>
  <c r="H625" i="1"/>
  <c r="J625" i="1" s="1"/>
  <c r="G464" i="1"/>
  <c r="G619" i="1"/>
  <c r="H458" i="1"/>
  <c r="G9" i="2"/>
  <c r="G19" i="2" s="1"/>
  <c r="J19" i="1"/>
  <c r="G611" i="1" s="1"/>
  <c r="C137" i="2"/>
  <c r="L535" i="1"/>
  <c r="C136" i="2"/>
  <c r="F650" i="1"/>
  <c r="L249" i="1"/>
  <c r="L263" i="1" s="1"/>
  <c r="G627" i="1"/>
  <c r="H636" i="1"/>
  <c r="J458" i="1"/>
  <c r="G36" i="2"/>
  <c r="G42" i="2" s="1"/>
  <c r="G43" i="2" s="1"/>
  <c r="J43" i="1"/>
  <c r="H638" i="1"/>
  <c r="J638" i="1" s="1"/>
  <c r="J263" i="1"/>
  <c r="H657" i="1"/>
  <c r="H662" i="1"/>
  <c r="C6" i="10" s="1"/>
  <c r="H618" i="1"/>
  <c r="G460" i="1"/>
  <c r="F33" i="13"/>
  <c r="D5" i="13"/>
  <c r="J607" i="1"/>
  <c r="J33" i="1"/>
  <c r="G657" i="1"/>
  <c r="G662" i="1"/>
  <c r="C5" i="10" s="1"/>
  <c r="H462" i="1"/>
  <c r="G623" i="1"/>
  <c r="J618" i="1"/>
  <c r="L519" i="1"/>
  <c r="G539" i="1"/>
  <c r="G636" i="1"/>
  <c r="J636" i="1" s="1"/>
  <c r="G621" i="1"/>
  <c r="E33" i="13"/>
  <c r="D35" i="13" s="1"/>
  <c r="C8" i="13"/>
  <c r="G466" i="1" l="1"/>
  <c r="H613" i="1" s="1"/>
  <c r="J613" i="1" s="1"/>
  <c r="G622" i="1"/>
  <c r="F462" i="1"/>
  <c r="C30" i="10"/>
  <c r="D23" i="10"/>
  <c r="D22" i="10"/>
  <c r="D15" i="10"/>
  <c r="D28" i="10" s="1"/>
  <c r="D18" i="10"/>
  <c r="D19" i="10"/>
  <c r="D12" i="10"/>
  <c r="D24" i="10"/>
  <c r="D21" i="10"/>
  <c r="D26" i="10"/>
  <c r="D11" i="10"/>
  <c r="D16" i="10"/>
  <c r="F654" i="1"/>
  <c r="I650" i="1"/>
  <c r="I654" i="1" s="1"/>
  <c r="J627" i="1"/>
  <c r="H464" i="1"/>
  <c r="H623" i="1"/>
  <c r="J623" i="1" s="1"/>
  <c r="J621" i="1"/>
  <c r="J44" i="1"/>
  <c r="H611" i="1" s="1"/>
  <c r="J611" i="1" s="1"/>
  <c r="G616" i="1"/>
  <c r="J616" i="1" s="1"/>
  <c r="H619" i="1"/>
  <c r="J619" i="1" s="1"/>
  <c r="H460" i="1"/>
  <c r="H466" i="1" s="1"/>
  <c r="H614" i="1" s="1"/>
  <c r="J614" i="1" s="1"/>
  <c r="F460" i="1"/>
  <c r="H617" i="1"/>
  <c r="J617" i="1" s="1"/>
  <c r="D27" i="10"/>
  <c r="D25" i="10"/>
  <c r="D13" i="10"/>
  <c r="H627" i="1"/>
  <c r="H621" i="1"/>
  <c r="J460" i="1"/>
  <c r="J466" i="1" s="1"/>
  <c r="H616" i="1" s="1"/>
  <c r="D17" i="10"/>
  <c r="C41" i="10"/>
  <c r="D36" i="10" s="1"/>
  <c r="G542" i="1"/>
  <c r="K539" i="1"/>
  <c r="K542" i="1" s="1"/>
  <c r="D33" i="13"/>
  <c r="D36" i="13" s="1"/>
  <c r="C5" i="13"/>
  <c r="D20" i="10"/>
  <c r="I662" i="1" l="1"/>
  <c r="C7" i="10" s="1"/>
  <c r="I657" i="1"/>
  <c r="F657" i="1"/>
  <c r="F662" i="1"/>
  <c r="C4" i="10" s="1"/>
  <c r="H622" i="1"/>
  <c r="F464" i="1"/>
  <c r="F466" i="1"/>
  <c r="H612" i="1" s="1"/>
  <c r="J622" i="1"/>
  <c r="D37" i="10"/>
  <c r="D40" i="10"/>
  <c r="D35" i="10"/>
  <c r="D39" i="10"/>
  <c r="D38" i="10"/>
  <c r="D41" i="10" l="1"/>
  <c r="H646" i="1"/>
  <c r="J6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D0F536A-A109-4035-82EB-38AA17D3D919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DBA2C83-CF0C-4961-9162-7B99783B9D6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0714F37-E661-4A2C-9542-826DF41AE5A4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3C2C02F-C728-4904-AC34-F9A1FE652D6F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F4F91A72-A6C2-41F0-8C84-74542EF8BB6D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3D5CC2E6-71B7-41D7-AC96-9F167FF7B1AE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478C2EC-709A-4359-8C58-0F75FF99F60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C4A6C5E2-8A2F-4856-A4F2-391D26FF5D7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4388237-7E69-4401-8A11-89409160753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B00E31E2-4B8C-4033-9AD1-9CAB45484481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42E1959-E7AE-43D9-ABD9-FDE81D3506B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B63E236-735F-4444-AB79-31D664CD75D9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<sst xmlns="http://schemas.openxmlformats.org/spreadsheetml/2006/main" count="3862" uniqueCount="898">
  <si>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</si>
  <si>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</si>
  <si>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</si>
  <si>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</si>
  <si>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</si>
  <si>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</si>
  <si>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</si>
  <si>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</si>
  <si>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</si>
  <si>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</si>
  <si>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</si>
  <si>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</si>
  <si>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</si>
  <si>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</si>
  <si>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</si>
  <si>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</si>
  <si>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</si>
  <si>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</si>
  <si>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</si>
  <si>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</si>
  <si>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</si>
  <si>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</si>
  <si>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</si>
  <si>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</si>
  <si>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</si>
  <si>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</si>
  <si>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</si>
  <si>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</si>
  <si>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</si>
  <si>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</si>
  <si>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</si>
  <si>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</si>
  <si>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</si>
  <si>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</si>
  <si>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</si>
  <si>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</si>
  <si>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</si>
  <si>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</si>
  <si>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</si>
  <si>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</si>
  <si>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</si>
  <si>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</si>
  <si>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</si>
  <si>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</si>
  <si>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</si>
  <si>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</si>
  <si>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</si>
  <si>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</si>
  <si>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</si>
  <si>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</si>
  <si>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</si>
  <si>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</si>
  <si>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</si>
  <si>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</si>
  <si>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</si>
  <si>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</si>
  <si>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</si>
  <si>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</si>
  <si>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</si>
  <si>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</si>
  <si>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</si>
  <si>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</si>
  <si>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</si>
  <si>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</si>
  <si>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</si>
  <si>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</si>
  <si>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</si>
  <si>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</si>
  <si>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</si>
  <si>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</si>
  <si>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</si>
  <si>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</si>
  <si>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</si>
  <si>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</si>
  <si>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</si>
  <si>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</si>
  <si>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</si>
  <si>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</si>
  <si>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</si>
  <si>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</si>
  <si>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</si>
  <si>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</si>
  <si>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</si>
  <si>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</si>
  <si>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</si>
  <si>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</si>
  <si>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</si>
  <si>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</si>
  <si>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</si>
  <si>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</si>
  <si>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</si>
  <si>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</si>
  <si>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</si>
  <si>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</si>
  <si>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</si>
  <si>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</si>
  <si>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</si>
  <si>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</si>
  <si>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</si>
  <si>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</si>
  <si>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</si>
  <si>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</si>
  <si>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</si>
  <si>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</si>
  <si>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</si>
  <si>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</si>
  <si>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</si>
  <si>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</si>
  <si>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</si>
  <si>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</si>
  <si>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</si>
  <si>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</si>
  <si>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</si>
  <si>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</si>
  <si>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</si>
  <si>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</si>
  <si>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</si>
  <si>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</si>
  <si>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</si>
  <si>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</si>
  <si>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</si>
  <si>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</si>
  <si>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</si>
  <si>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</si>
  <si>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</si>
  <si>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</si>
  <si>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</si>
  <si>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</si>
  <si>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</si>
  <si>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</si>
  <si>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</si>
  <si>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</si>
  <si>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</si>
  <si>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</si>
  <si>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</si>
  <si>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</si>
  <si>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</si>
  <si>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</si>
  <si>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</si>
  <si>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</si>
  <si>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</si>
  <si>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</si>
  <si>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</si>
  <si>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</si>
  <si>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</si>
  <si>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</si>
  <si>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</si>
  <si>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</si>
  <si>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</si>
  <si>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</si>
  <si>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</si>
  <si>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</si>
  <si>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</si>
  <si>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</si>
  <si>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</si>
  <si>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</si>
  <si>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</si>
  <si>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</si>
  <si>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</si>
  <si>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</si>
  <si>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</si>
  <si>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</si>
  <si>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</si>
  <si>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</si>
  <si>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</si>
  <si>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</si>
  <si>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</si>
  <si>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</si>
  <si>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</si>
  <si>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</si>
  <si>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</si>
  <si>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</si>
  <si>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</si>
  <si>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</si>
  <si>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</si>
  <si>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</si>
  <si>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</si>
  <si>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</si>
  <si>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</si>
  <si>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</si>
  <si>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</si>
  <si>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</si>
  <si>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</si>
  <si>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</si>
  <si>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</si>
  <si>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</si>
  <si>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</si>
  <si>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</si>
  <si>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</si>
  <si>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</si>
  <si>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</si>
  <si>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</si>
  <si>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</si>
  <si>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</si>
  <si>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</si>
  <si>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</si>
  <si>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</si>
  <si>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</si>
  <si>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</si>
  <si>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</si>
  <si>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</si>
  <si>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</si>
  <si>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</si>
  <si>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</si>
  <si>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</si>
  <si>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</si>
  <si>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</si>
  <si>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</si>
  <si>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</si>
  <si>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</si>
  <si>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</si>
  <si>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</si>
  <si>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</si>
  <si>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</si>
  <si>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</si>
  <si>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</si>
  <si>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</si>
  <si>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</si>
  <si>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</si>
  <si>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</si>
  <si>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</si>
  <si>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</si>
  <si>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</si>
  <si>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</si>
  <si>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</si>
  <si>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</si>
  <si>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</si>
  <si>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</si>
  <si>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</si>
  <si>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</si>
  <si>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</si>
  <si>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</si>
  <si>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</si>
  <si>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</si>
  <si>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</si>
  <si>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</si>
  <si>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</si>
  <si>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</si>
  <si>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</si>
  <si>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</si>
  <si>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</si>
  <si>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</si>
  <si>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</si>
  <si>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</si>
  <si>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</si>
  <si>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</si>
  <si>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</si>
  <si>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</si>
  <si>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</si>
  <si>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</si>
  <si>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</si>
  <si>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</si>
  <si>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</si>
  <si>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</si>
  <si>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</si>
  <si>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</si>
  <si>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</si>
  <si>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</si>
  <si>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</si>
  <si>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</si>
  <si>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</si>
  <si>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</si>
  <si>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</si>
  <si>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</si>
  <si>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</si>
  <si>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</si>
  <si>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</si>
  <si>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</si>
  <si>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</si>
  <si>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</si>
  <si>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</si>
  <si>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</si>
  <si>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</si>
  <si>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</si>
  <si>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</si>
  <si>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</si>
  <si>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</si>
  <si>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</si>
  <si>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</si>
  <si>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</si>
  <si>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</si>
  <si>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</si>
  <si>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</si>
  <si>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</si>
  <si>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</si>
  <si>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</si>
  <si>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</si>
  <si>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</si>
  <si>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</si>
  <si>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</si>
  <si>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</si>
  <si>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</si>
  <si>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</si>
  <si>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</si>
  <si>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</si>
  <si>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</si>
  <si>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</si>
  <si>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</si>
  <si>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</si>
  <si>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</si>
  <si>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</si>
  <si>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</si>
  <si>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</si>
  <si>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</si>
  <si>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</si>
  <si>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</si>
  <si>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</si>
  <si>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</si>
  <si>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</si>
  <si>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</si>
  <si>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</si>
  <si>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</si>
  <si>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</si>
  <si>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</si>
  <si>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</si>
  <si>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</si>
  <si>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</si>
  <si>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</si>
  <si>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</si>
  <si>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</si>
  <si>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</si>
  <si>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</si>
  <si>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</si>
  <si>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</si>
  <si>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</si>
  <si>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</si>
  <si>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</si>
  <si>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</si>
  <si>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</si>
  <si>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</si>
  <si>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</si>
  <si>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</si>
  <si>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</si>
  <si>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</si>
  <si>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</si>
  <si>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</si>
  <si>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</si>
  <si>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</si>
  <si>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</si>
  <si>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</si>
  <si>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</si>
  <si>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</si>
  <si>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</si>
  <si>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</si>
  <si>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</si>
  <si>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</si>
  <si>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</si>
  <si>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</si>
  <si>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</si>
  <si>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</si>
  <si>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</si>
  <si>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</si>
  <si>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</si>
  <si>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</si>
  <si>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</si>
  <si>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</si>
  <si>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</si>
  <si>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</si>
  <si>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</si>
  <si>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</si>
  <si>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</si>
  <si>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</si>
  <si>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</si>
  <si>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</si>
  <si>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</si>
  <si>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</si>
  <si>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</si>
  <si>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</si>
  <si>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</si>
  <si>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</si>
  <si>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</si>
  <si>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</si>
  <si>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</si>
  <si>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</si>
  <si>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</si>
  <si>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</si>
  <si>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</si>
  <si>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</si>
  <si>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</si>
  <si>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</si>
  <si>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</si>
  <si>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</si>
  <si>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</si>
  <si>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</si>
  <si>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</si>
  <si>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</si>
  <si>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</si>
  <si>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</si>
  <si>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</si>
  <si>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</si>
  <si>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</si>
  <si>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</si>
  <si>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</si>
  <si>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</si>
  <si>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</si>
  <si>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</si>
  <si>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</si>
  <si>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</si>
  <si>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</si>
  <si>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</si>
  <si>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</si>
  <si>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</si>
  <si>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</si>
  <si>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</si>
  <si>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</si>
  <si>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</si>
  <si>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</si>
  <si>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</si>
  <si>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</si>
  <si>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</si>
  <si>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</si>
  <si>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</si>
  <si>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</si>
  <si>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</si>
  <si>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</si>
  <si>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</si>
  <si>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</si>
  <si>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</si>
  <si>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</si>
  <si>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</si>
  <si>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</si>
  <si>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</si>
  <si>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</si>
  <si>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</si>
  <si>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</si>
  <si>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</si>
  <si>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</si>
  <si>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</si>
  <si>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</si>
  <si>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</si>
  <si>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</si>
  <si>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</si>
  <si>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</si>
  <si>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</si>
  <si>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</si>
  <si>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</si>
  <si>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</si>
  <si>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</si>
  <si>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</si>
  <si>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</si>
  <si>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</si>
  <si>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</si>
  <si>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</si>
  <si>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</si>
  <si>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</si>
  <si>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</si>
  <si>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</si>
  <si>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</si>
  <si>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</si>
  <si>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</si>
  <si>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</si>
  <si>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</si>
  <si>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</si>
  <si>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</si>
  <si>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</si>
  <si>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</si>
  <si>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</si>
  <si>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</si>
  <si>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</si>
  <si>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</si>
  <si>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</si>
  <si>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</si>
  <si>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</si>
  <si>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</si>
  <si>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</si>
  <si>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</si>
  <si>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</si>
  <si>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</si>
  <si>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</si>
  <si>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</si>
  <si>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</si>
  <si>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</si>
  <si>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</si>
  <si>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</si>
  <si>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</si>
  <si>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</si>
  <si>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</si>
  <si>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</si>
  <si>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</si>
  <si>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</si>
  <si>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</si>
  <si>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</si>
  <si>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</si>
  <si>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</si>
  <si>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</si>
  <si>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</si>
  <si>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</si>
  <si>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</si>
  <si>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</si>
  <si>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</si>
  <si>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</si>
  <si>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</si>
  <si>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</si>
  <si>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</si>
  <si>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</si>
  <si>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</si>
  <si>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</si>
  <si>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</si>
  <si>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</si>
  <si>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</si>
  <si>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</si>
  <si>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</si>
  <si>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</si>
  <si>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</si>
  <si>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</si>
  <si>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</si>
  <si>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</si>
  <si>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</si>
  <si>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</si>
  <si>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</si>
  <si>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</si>
  <si>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</si>
  <si>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</si>
  <si>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</si>
  <si>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</si>
  <si>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</si>
  <si>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</si>
  <si>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</si>
  <si>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</si>
  <si>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</si>
  <si>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</si>
  <si>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</si>
  <si>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</si>
  <si>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</si>
  <si>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</si>
  <si>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</si>
  <si>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</si>
  <si>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</si>
  <si>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</si>
  <si>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</si>
  <si>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</si>
  <si>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</si>
  <si>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</si>
  <si>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</si>
  <si>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</si>
  <si>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</si>
  <si>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</si>
  <si>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</si>
  <si>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</si>
  <si>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</si>
  <si>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</si>
  <si>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</si>
  <si>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</si>
  <si>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</si>
  <si>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</si>
  <si>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</si>
  <si>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</si>
  <si>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</si>
  <si>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</si>
  <si>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</si>
  <si>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</si>
  <si>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</si>
  <si>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</si>
  <si>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</si>
  <si>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</si>
  <si>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</si>
  <si>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</si>
  <si>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</si>
  <si>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</si>
  <si>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</si>
  <si>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</si>
  <si>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</si>
  <si>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</si>
  <si>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</si>
  <si>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</si>
  <si>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</si>
  <si>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</si>
  <si>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</si>
  <si>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</si>
  <si>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</si>
  <si>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</si>
  <si>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</si>
  <si>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</si>
  <si>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</si>
  <si>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</si>
  <si>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</si>
  <si>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</si>
  <si>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</si>
  <si>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</si>
  <si>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</si>
  <si>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</si>
  <si>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</si>
  <si>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</si>
  <si>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</si>
  <si>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</si>
  <si>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</si>
  <si>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</si>
  <si>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</si>
  <si>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</si>
  <si>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</si>
  <si>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</si>
  <si>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</si>
  <si>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</si>
  <si>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</si>
  <si>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</si>
  <si>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</si>
  <si>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</si>
  <si>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</si>
  <si>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</si>
  <si>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</si>
  <si>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</si>
  <si>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</si>
  <si>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</si>
  <si>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</si>
  <si>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</si>
  <si>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</si>
  <si>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</si>
  <si>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</si>
  <si>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</si>
  <si>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</si>
  <si>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</si>
  <si>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</si>
  <si>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</si>
  <si>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</si>
  <si>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</si>
  <si>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</si>
  <si>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</si>
  <si>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</si>
  <si>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</si>
  <si>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</si>
  <si>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</si>
  <si>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</si>
  <si>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</si>
  <si>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</si>
  <si>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</si>
  <si>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</si>
  <si>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</si>
  <si>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</si>
  <si>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</si>
  <si>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</si>
  <si>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</si>
  <si>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</si>
  <si>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</si>
  <si>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</si>
  <si>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</si>
  <si>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</si>
  <si>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</si>
  <si>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</si>
  <si>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</si>
  <si>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</si>
  <si>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</si>
  <si>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</si>
  <si>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</si>
  <si>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</si>
  <si>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</si>
  <si>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</si>
  <si>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</si>
  <si>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</si>
  <si>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</si>
  <si>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</si>
  <si>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</si>
  <si>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</si>
  <si>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</si>
  <si>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</si>
  <si>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</si>
  <si>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</si>
  <si>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</si>
  <si>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</si>
  <si>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</si>
  <si>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</si>
  <si>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</si>
  <si>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</si>
  <si>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</si>
  <si>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</si>
  <si>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</si>
  <si>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</si>
  <si>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</si>
  <si>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</si>
  <si>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</si>
  <si>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</si>
  <si>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</si>
  <si>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</si>
  <si>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</si>
  <si>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</si>
  <si>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</si>
  <si>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</si>
  <si>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</si>
  <si>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</si>
  <si>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</si>
  <si>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</si>
  <si>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</si>
  <si>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</si>
  <si>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</si>
  <si>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</si>
  <si>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</si>
  <si>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</si>
  <si>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</si>
  <si>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</si>
  <si>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</si>
  <si>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</si>
  <si>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</si>
  <si>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</si>
  <si>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</si>
  <si>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</si>
  <si>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</si>
  <si>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</si>
  <si>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</si>
  <si>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</si>
  <si>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</si>
  <si>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</si>
  <si>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</si>
  <si>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</si>
  <si>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</si>
  <si>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</si>
  <si>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</si>
  <si>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</si>
  <si>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</si>
  <si>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</si>
  <si>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</si>
  <si>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</si>
  <si>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</si>
  <si>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</si>
  <si>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</si>
  <si>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</si>
  <si>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</si>
  <si>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</si>
  <si>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</si>
  <si>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</si>
  <si>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</si>
  <si>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</si>
  <si>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</si>
  <si>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</si>
  <si>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</si>
  <si>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</si>
  <si>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</si>
  <si>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</si>
  <si>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</si>
  <si>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</si>
  <si>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</si>
  <si>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</si>
  <si>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</si>
  <si>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</si>
  <si>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</si>
  <si>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</si>
  <si>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</si>
  <si>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</si>
  <si>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</si>
  <si>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</si>
  <si>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</si>
  <si>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</si>
  <si>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</si>
  <si>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</si>
  <si>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</si>
  <si>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</si>
  <si>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</si>
  <si>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</si>
  <si>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</si>
  <si>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</si>
  <si>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</si>
  <si>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</si>
  <si>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</si>
  <si>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</si>
  <si>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</si>
  <si>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</si>
  <si>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</si>
  <si>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</si>
  <si>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</si>
  <si>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</si>
  <si>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</si>
  <si>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</si>
  <si>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</si>
  <si>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</si>
  <si>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</si>
  <si>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</si>
  <si>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</si>
  <si>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</si>
  <si>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</si>
  <si>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</si>
  <si>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</si>
  <si>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</si>
  <si>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</si>
  <si>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</si>
  <si>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</si>
  <si>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</si>
  <si>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</si>
  <si>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</si>
  <si>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</si>
  <si>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</si>
  <si>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</si>
  <si>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</si>
  <si>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</si>
  <si>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</si>
  <si>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</si>
  <si>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</si>
  <si>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</si>
  <si>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</si>
  <si>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</si>
  <si>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</si>
  <si>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</si>
  <si>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</si>
  <si>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</si>
  <si>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</si>
  <si>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</si>
  <si>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</si>
  <si>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</si>
  <si>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</si>
  <si>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</si>
  <si>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</si>
  <si>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</si>
  <si>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</si>
  <si>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</si>
  <si>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</si>
  <si>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</si>
  <si>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</si>
  <si>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</si>
  <si>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</si>
  <si>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</si>
  <si>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</si>
  <si>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</si>
  <si>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</si>
  <si>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</si>
  <si>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</si>
  <si>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</si>
  <si>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</si>
  <si>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</si>
  <si>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</si>
  <si>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</si>
  <si>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</si>
  <si>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</si>
  <si>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</si>
  <si>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</si>
  <si>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</si>
  <si>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</si>
  <si>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</si>
  <si>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</si>
  <si>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</si>
  <si>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</si>
  <si>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</si>
  <si>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</si>
  <si>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</si>
  <si>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</si>
  <si>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</si>
  <si>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</si>
  <si>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</si>
  <si>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</si>
  <si>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</si>
  <si>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</si>
  <si>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</si>
  <si>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</si>
  <si>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</si>
  <si>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</si>
  <si>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</si>
  <si>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</si>
  <si>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</si>
  <si>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</si>
  <si>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</si>
  <si>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</si>
  <si>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</si>
  <si>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</si>
  <si>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</si>
  <si>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</si>
  <si>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</si>
  <si>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</si>
  <si>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</si>
  <si>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</si>
  <si>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</si>
  <si>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</si>
  <si>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</si>
  <si>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</si>
  <si>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</si>
  <si>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</si>
  <si>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</si>
  <si>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</si>
  <si>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</si>
  <si>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</si>
  <si>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</si>
  <si>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</si>
  <si>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</si>
  <si>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</si>
  <si>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</si>
  <si>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</si>
  <si>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</si>
  <si>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</si>
  <si>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</si>
  <si>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</si>
  <si>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</si>
  <si>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</si>
  <si>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</si>
  <si>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</si>
  <si>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</si>
  <si>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</si>
  <si>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</si>
  <si>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</si>
  <si>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</si>
  <si>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</si>
  <si>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</si>
  <si>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</si>
  <si>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</si>
  <si>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</si>
  <si>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</si>
  <si>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</si>
  <si>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</si>
  <si>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</si>
  <si>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</si>
  <si>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2/05</t>
  </si>
  <si>
    <t>8/24</t>
  </si>
  <si>
    <t>Sanborn Regional School District</t>
  </si>
  <si>
    <t>Impact Fees town of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</si>
</sst>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1" fillId="0" borderId="0" xfId="0" applyNumberFormat="1" applyFont="1" applyBorder="1" applyProtection="1"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A714-E43A-46BE-82EA-00511643D466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270" t="s">
        <v>896</v>
      </c>
      <c r="B2" s="21">
        <v>476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5" t="s">
        <v>304</v>
      </c>
      <c r="G6" s="225" t="s">
        <v>305</v>
      </c>
      <c r="H6" s="225" t="s">
        <v>306</v>
      </c>
      <c r="I6" s="225" t="s">
        <v>307</v>
      </c>
      <c r="J6" s="225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5"/>
      <c r="G7" s="226"/>
      <c r="H7" s="225" t="s">
        <v>804</v>
      </c>
      <c r="I7" s="226"/>
      <c r="J7" s="226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488344.18+15044.71</f>
        <v>503388.89</v>
      </c>
      <c r="G9" s="18">
        <v>7887.76</v>
      </c>
      <c r="H9" s="18">
        <v>139150.1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277688.33999999997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1878.88+186756.1</f>
        <v>188634.98</v>
      </c>
      <c r="G12" s="18">
        <v>30293.87</v>
      </c>
      <c r="H12" s="18">
        <v>0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10407.629999999999</v>
      </c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972476.78</v>
      </c>
      <c r="G14" s="18">
        <v>11489.87</v>
      </c>
      <c r="H14" s="18">
        <v>200228.9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2125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1666625.65</v>
      </c>
      <c r="G19" s="41">
        <f>SUM(G9:G18)</f>
        <v>60079.13</v>
      </c>
      <c r="H19" s="41">
        <f>SUM(H9:H18)</f>
        <v>339379</v>
      </c>
      <c r="I19" s="41">
        <f>SUM(I9:I18)</f>
        <v>0</v>
      </c>
      <c r="J19" s="41">
        <f>SUM(J9:J18)</f>
        <v>277688.33999999997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30293.87</v>
      </c>
      <c r="G23" s="18"/>
      <c r="H23" s="18">
        <f>186756.1+1878.88</f>
        <v>188634.98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432234.57</v>
      </c>
      <c r="G25" s="18">
        <v>2906.65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9990.68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25397.3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4012.12</v>
      </c>
      <c r="H31" s="18">
        <v>3659.86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497916.42</v>
      </c>
      <c r="G33" s="41">
        <f>SUM(G23:G32)</f>
        <v>6918.77</v>
      </c>
      <c r="H33" s="41">
        <f>SUM(H23:H32)</f>
        <v>192294.84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2125</v>
      </c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f>584732.25+85000</f>
        <v>669732.25</v>
      </c>
      <c r="G37" s="18">
        <v>5690</v>
      </c>
      <c r="H37" s="18">
        <v>0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G19-G33-G37</f>
        <v>47470.36</v>
      </c>
      <c r="H41" s="18">
        <f>H19-H33-H37</f>
        <v>147084.16</v>
      </c>
      <c r="I41" s="18"/>
      <c r="J41" s="13">
        <f>SUM(I449)</f>
        <v>277688.33999999997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F19-F33-F36-F37</f>
        <v>496851.98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1168709.23</v>
      </c>
      <c r="G43" s="41">
        <f>SUM(G35:G42)</f>
        <v>53160.36</v>
      </c>
      <c r="H43" s="41">
        <f>SUM(H35:H42)</f>
        <v>147084.16</v>
      </c>
      <c r="I43" s="41">
        <f>SUM(I35:I42)</f>
        <v>0</v>
      </c>
      <c r="J43" s="41">
        <f>SUM(J35:J42)</f>
        <v>277688.33999999997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1666625.65</v>
      </c>
      <c r="G44" s="41">
        <f>G43+G33</f>
        <v>60079.130000000005</v>
      </c>
      <c r="H44" s="41">
        <f>H43+H33</f>
        <v>339379</v>
      </c>
      <c r="I44" s="41">
        <f>I43+I33</f>
        <v>0</v>
      </c>
      <c r="J44" s="41">
        <f>J43+J33</f>
        <v>277688.33999999997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9523041+7401227</f>
        <v>16924268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49646.58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16973914.579999998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16760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4453.2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3061693.82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3082907.02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8693.1</v>
      </c>
      <c r="G88" s="18">
        <v>68.86</v>
      </c>
      <c r="H88" s="18">
        <v>232.59</v>
      </c>
      <c r="I88" s="18"/>
      <c r="J88" s="18">
        <v>2658.16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442280.13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>
        <v>75571.850000000006</v>
      </c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4824.78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39852.74</v>
      </c>
      <c r="G102" s="18">
        <v>11489.87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48545.84</v>
      </c>
      <c r="G103" s="41">
        <f>SUM(G88:G102)</f>
        <v>453838.86</v>
      </c>
      <c r="H103" s="41">
        <f>SUM(H88:H102)</f>
        <v>80629.22</v>
      </c>
      <c r="I103" s="41">
        <f>SUM(I88:I102)</f>
        <v>0</v>
      </c>
      <c r="J103" s="41">
        <f>SUM(J88:J102)</f>
        <v>2658.16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20105367.439999998</v>
      </c>
      <c r="G104" s="41">
        <f>G52+G103</f>
        <v>453838.86</v>
      </c>
      <c r="H104" s="41">
        <f>H52+H71+H86+H103</f>
        <v>80629.22</v>
      </c>
      <c r="I104" s="41">
        <f>I52+I103</f>
        <v>0</v>
      </c>
      <c r="J104" s="41">
        <f>J52+J103</f>
        <v>2658.16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2639323.59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2643690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1012626.41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6295640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915207.83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345361.84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10517.25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16823.52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7173.98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17700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1305610.44</v>
      </c>
      <c r="G128" s="41">
        <f>SUM(G115:G127)</f>
        <v>7173.98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7601250.4399999995</v>
      </c>
      <c r="G132" s="41">
        <f>G113+SUM(G128:G129)</f>
        <v>7173.98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4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16075.52</v>
      </c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16075.52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191244.82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69693.740000000005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4850.18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131231.42000000001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149619.01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622184.30000000005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149619.01</v>
      </c>
      <c r="G154" s="41">
        <f>SUM(G142:G153)</f>
        <v>131231.42000000001</v>
      </c>
      <c r="H154" s="41">
        <f>SUM(H142:H153)</f>
        <v>887973.04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165694.53</v>
      </c>
      <c r="G161" s="41">
        <f>G139+G154+SUM(G155:G160)</f>
        <v>131231.42000000001</v>
      </c>
      <c r="H161" s="41">
        <f>H139+H154+SUM(H155:H160)</f>
        <v>887973.04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4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15024.42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15024.42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15024.42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27872312.409999996</v>
      </c>
      <c r="G185" s="47">
        <f>G104+G132+G161+G184</f>
        <v>607268.68000000005</v>
      </c>
      <c r="H185" s="47">
        <f>H104+H132+H161+H184</f>
        <v>968602.26</v>
      </c>
      <c r="I185" s="47">
        <f>I104+I132+I161+I184</f>
        <v>0</v>
      </c>
      <c r="J185" s="47">
        <f>J104+J132+J184</f>
        <v>2658.16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6" t="s">
        <v>724</v>
      </c>
      <c r="G186" s="176" t="s">
        <v>725</v>
      </c>
      <c r="H186" s="176" t="s">
        <v>726</v>
      </c>
      <c r="I186" s="176" t="s">
        <v>727</v>
      </c>
      <c r="J186" s="176" t="s">
        <v>728</v>
      </c>
      <c r="K186" s="176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2757071.38</v>
      </c>
      <c r="G189" s="18">
        <v>1013709.56</v>
      </c>
      <c r="H189" s="18">
        <f>86843.02-150-150-23.4</f>
        <v>86519.62000000001</v>
      </c>
      <c r="I189" s="18">
        <f>211800.55-2464.98</f>
        <v>209335.56999999998</v>
      </c>
      <c r="J189" s="18">
        <v>100959.24</v>
      </c>
      <c r="K189" s="18">
        <v>10356</v>
      </c>
      <c r="L189" s="19">
        <f>SUM(F189:K189)</f>
        <v>4177951.37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1045908.46</v>
      </c>
      <c r="G190" s="18">
        <v>547585.73</v>
      </c>
      <c r="H190" s="18">
        <v>106590.69</v>
      </c>
      <c r="I190" s="18">
        <v>15207.51</v>
      </c>
      <c r="J190" s="18">
        <v>2736.11</v>
      </c>
      <c r="K190" s="18">
        <v>218.56</v>
      </c>
      <c r="L190" s="19">
        <f>SUM(F190:K190)</f>
        <v>1718247.06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40709.199999999997</v>
      </c>
      <c r="G192" s="18">
        <v>1896.85</v>
      </c>
      <c r="H192" s="18">
        <v>7600</v>
      </c>
      <c r="I192" s="18"/>
      <c r="J192" s="18"/>
      <c r="K192" s="18"/>
      <c r="L192" s="19">
        <f>SUM(F192:K192)</f>
        <v>50206.049999999996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508967.36</v>
      </c>
      <c r="G194" s="18">
        <v>217550.35</v>
      </c>
      <c r="H194" s="18">
        <v>9752.36</v>
      </c>
      <c r="I194" s="18">
        <v>3638.49</v>
      </c>
      <c r="J194" s="18"/>
      <c r="K194" s="18"/>
      <c r="L194" s="19">
        <f t="shared" ref="L194:L200" si="0">SUM(F194:K194)</f>
        <v>739908.55999999994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99288</v>
      </c>
      <c r="G195" s="18">
        <v>56794.39</v>
      </c>
      <c r="H195" s="18">
        <f>5225.55-4.71</f>
        <v>5220.84</v>
      </c>
      <c r="I195" s="18">
        <v>30713.65</v>
      </c>
      <c r="J195" s="18">
        <v>1523.22</v>
      </c>
      <c r="K195" s="18">
        <v>2026.4</v>
      </c>
      <c r="L195" s="19">
        <f t="shared" si="0"/>
        <v>195566.5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138632.56</v>
      </c>
      <c r="G196" s="18">
        <v>51676.63</v>
      </c>
      <c r="H196" s="18">
        <f>37688.56-3226.52-5783.44</f>
        <v>28678.600000000002</v>
      </c>
      <c r="I196" s="18">
        <v>6749.51</v>
      </c>
      <c r="J196" s="18"/>
      <c r="K196" s="18">
        <v>9718.14</v>
      </c>
      <c r="L196" s="19">
        <f t="shared" si="0"/>
        <v>235455.44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422097.27</v>
      </c>
      <c r="G197" s="18">
        <v>195650.57</v>
      </c>
      <c r="H197" s="18">
        <v>4689.01</v>
      </c>
      <c r="I197" s="18">
        <v>9437.32</v>
      </c>
      <c r="J197" s="18"/>
      <c r="K197" s="18">
        <v>5966</v>
      </c>
      <c r="L197" s="19">
        <f t="shared" si="0"/>
        <v>637840.17000000004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52862.12</v>
      </c>
      <c r="G198" s="18">
        <v>28651.64</v>
      </c>
      <c r="H198" s="18">
        <v>51675.89</v>
      </c>
      <c r="I198" s="18">
        <v>2938.11</v>
      </c>
      <c r="J198" s="18"/>
      <c r="K198" s="18">
        <v>157.69999999999999</v>
      </c>
      <c r="L198" s="19">
        <f t="shared" si="0"/>
        <v>136285.46000000002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363287.98</v>
      </c>
      <c r="G199" s="18">
        <v>220865.62</v>
      </c>
      <c r="H199" s="18">
        <v>388008.76</v>
      </c>
      <c r="I199" s="18">
        <v>281565.38</v>
      </c>
      <c r="J199" s="18">
        <v>28086.31</v>
      </c>
      <c r="K199" s="18">
        <v>1854.31</v>
      </c>
      <c r="L199" s="19">
        <f t="shared" si="0"/>
        <v>1283668.3600000001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375909.15</v>
      </c>
      <c r="I200" s="18"/>
      <c r="J200" s="18"/>
      <c r="K200" s="18"/>
      <c r="L200" s="19">
        <f t="shared" si="0"/>
        <v>375909.15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103436.8</v>
      </c>
      <c r="G201" s="18">
        <v>140204.75</v>
      </c>
      <c r="H201" s="18"/>
      <c r="I201" s="18"/>
      <c r="J201" s="18"/>
      <c r="K201" s="18"/>
      <c r="L201" s="19">
        <f>SUM(F201:K201)</f>
        <v>243641.55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5532261.1299999999</v>
      </c>
      <c r="G203" s="41">
        <f t="shared" si="1"/>
        <v>2474586.0900000003</v>
      </c>
      <c r="H203" s="41">
        <f t="shared" si="1"/>
        <v>1064644.92</v>
      </c>
      <c r="I203" s="41">
        <f t="shared" si="1"/>
        <v>559585.54</v>
      </c>
      <c r="J203" s="41">
        <f t="shared" si="1"/>
        <v>133304.88</v>
      </c>
      <c r="K203" s="41">
        <f t="shared" si="1"/>
        <v>30297.11</v>
      </c>
      <c r="L203" s="41">
        <f t="shared" si="1"/>
        <v>9794679.6699999999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6" t="s">
        <v>724</v>
      </c>
      <c r="G204" s="176" t="s">
        <v>725</v>
      </c>
      <c r="H204" s="176" t="s">
        <v>726</v>
      </c>
      <c r="I204" s="176" t="s">
        <v>727</v>
      </c>
      <c r="J204" s="176" t="s">
        <v>728</v>
      </c>
      <c r="K204" s="176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1683318.66</v>
      </c>
      <c r="G207" s="18">
        <v>604935.53</v>
      </c>
      <c r="H207" s="18">
        <f>48714.98-150-12.6</f>
        <v>48552.380000000005</v>
      </c>
      <c r="I207" s="18">
        <f>116672.42-1327.3</f>
        <v>115345.12</v>
      </c>
      <c r="J207" s="18">
        <v>69746.73</v>
      </c>
      <c r="K207" s="18">
        <v>6205</v>
      </c>
      <c r="L207" s="19">
        <f>SUM(F207:K207)</f>
        <v>2528103.42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495662.46</v>
      </c>
      <c r="G208" s="18">
        <v>339777.51</v>
      </c>
      <c r="H208" s="18">
        <v>128375.12</v>
      </c>
      <c r="I208" s="18">
        <v>8101.28</v>
      </c>
      <c r="J208" s="18">
        <v>2957.56</v>
      </c>
      <c r="K208" s="18">
        <v>68.64</v>
      </c>
      <c r="L208" s="19">
        <f>SUM(F208:K208)</f>
        <v>974942.57000000007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59752.73</v>
      </c>
      <c r="G210" s="18">
        <v>15958.85</v>
      </c>
      <c r="H210" s="18">
        <f>15940.27</f>
        <v>15940.27</v>
      </c>
      <c r="I210" s="18">
        <v>3809.7</v>
      </c>
      <c r="J210" s="18">
        <f>6410.72-0.2</f>
        <v>6410.52</v>
      </c>
      <c r="K210" s="18">
        <v>660</v>
      </c>
      <c r="L210" s="19">
        <f>SUM(F210:K210)</f>
        <v>102532.07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297560.08</v>
      </c>
      <c r="G212" s="18">
        <v>120890.76</v>
      </c>
      <c r="H212" s="18">
        <v>1039</v>
      </c>
      <c r="I212" s="18">
        <v>1588.65</v>
      </c>
      <c r="J212" s="18"/>
      <c r="K212" s="18">
        <v>115</v>
      </c>
      <c r="L212" s="19">
        <f t="shared" ref="L212:L218" si="2">SUM(F212:K212)</f>
        <v>421193.49000000005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60452</v>
      </c>
      <c r="G213" s="18">
        <v>43528.29</v>
      </c>
      <c r="H213" s="18">
        <v>2879.29</v>
      </c>
      <c r="I213" s="18">
        <v>14742.81</v>
      </c>
      <c r="J213" s="18">
        <v>2274.44</v>
      </c>
      <c r="K213" s="18">
        <v>408.13</v>
      </c>
      <c r="L213" s="19">
        <f t="shared" si="2"/>
        <v>124284.96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80260.95</v>
      </c>
      <c r="G214" s="18">
        <v>29918</v>
      </c>
      <c r="H214" s="18">
        <f>21819.67-1737.36-3114.16</f>
        <v>16968.149999999998</v>
      </c>
      <c r="I214" s="18">
        <v>3907.62</v>
      </c>
      <c r="J214" s="18"/>
      <c r="K214" s="18">
        <v>5626.28</v>
      </c>
      <c r="L214" s="19">
        <f t="shared" si="2"/>
        <v>136681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227056.56</v>
      </c>
      <c r="G215" s="18">
        <v>100647.22</v>
      </c>
      <c r="H215" s="18">
        <v>7398.07</v>
      </c>
      <c r="I215" s="18"/>
      <c r="J215" s="18"/>
      <c r="K215" s="18">
        <v>1935</v>
      </c>
      <c r="L215" s="19">
        <f t="shared" si="2"/>
        <v>337036.85000000003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30604.37</v>
      </c>
      <c r="G216" s="18">
        <v>16587.8</v>
      </c>
      <c r="H216" s="18">
        <v>29917.63</v>
      </c>
      <c r="I216" s="18">
        <v>1701.01</v>
      </c>
      <c r="J216" s="18"/>
      <c r="K216" s="18">
        <v>91.3</v>
      </c>
      <c r="L216" s="19">
        <f t="shared" si="2"/>
        <v>78902.11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169045.2</v>
      </c>
      <c r="G217" s="18">
        <v>79225.490000000005</v>
      </c>
      <c r="H217" s="18">
        <v>117122.11</v>
      </c>
      <c r="I217" s="18">
        <v>171282.98</v>
      </c>
      <c r="J217" s="18">
        <v>19004.5</v>
      </c>
      <c r="K217" s="18">
        <v>1007.33</v>
      </c>
      <c r="L217" s="19">
        <f t="shared" si="2"/>
        <v>556687.61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213370.1</v>
      </c>
      <c r="I218" s="18"/>
      <c r="J218" s="18"/>
      <c r="K218" s="18"/>
      <c r="L218" s="19">
        <f t="shared" si="2"/>
        <v>213370.1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54304.32</v>
      </c>
      <c r="G219" s="18">
        <v>73607.490000000005</v>
      </c>
      <c r="H219" s="18"/>
      <c r="I219" s="18"/>
      <c r="J219" s="18"/>
      <c r="K219" s="18"/>
      <c r="L219" s="19">
        <f>SUM(F219:K219)</f>
        <v>127911.81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3158017.3300000005</v>
      </c>
      <c r="G221" s="41">
        <f>SUM(G207:G220)</f>
        <v>1425076.94</v>
      </c>
      <c r="H221" s="41">
        <f>SUM(H207:H220)</f>
        <v>581562.12</v>
      </c>
      <c r="I221" s="41">
        <f>SUM(I207:I220)</f>
        <v>320479.17000000004</v>
      </c>
      <c r="J221" s="41">
        <f>SUM(J207:J220)</f>
        <v>100393.75</v>
      </c>
      <c r="K221" s="41">
        <f t="shared" si="3"/>
        <v>16116.679999999998</v>
      </c>
      <c r="L221" s="41">
        <f t="shared" si="3"/>
        <v>5601645.9899999993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6" t="s">
        <v>724</v>
      </c>
      <c r="G222" s="176" t="s">
        <v>725</v>
      </c>
      <c r="H222" s="176" t="s">
        <v>726</v>
      </c>
      <c r="I222" s="176" t="s">
        <v>727</v>
      </c>
      <c r="J222" s="176" t="s">
        <v>728</v>
      </c>
      <c r="K222" s="176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2356268.89</v>
      </c>
      <c r="G225" s="18">
        <v>892668.07</v>
      </c>
      <c r="H225" s="18">
        <f>146474.25-150-24</f>
        <v>146300.25</v>
      </c>
      <c r="I225" s="18">
        <f>214431.6-8.4-2528.18</f>
        <v>211895.02000000002</v>
      </c>
      <c r="J225" s="18">
        <f>101170.9-2.72</f>
        <v>101168.18</v>
      </c>
      <c r="K225" s="18">
        <v>10256</v>
      </c>
      <c r="L225" s="19">
        <f>SUM(F225:K225)</f>
        <v>3718556.41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573250.69999999995</v>
      </c>
      <c r="G226" s="18">
        <v>314263.96999999997</v>
      </c>
      <c r="H226" s="18">
        <v>981350.24</v>
      </c>
      <c r="I226" s="18">
        <v>9232.0400000000009</v>
      </c>
      <c r="J226" s="18">
        <v>1610.32</v>
      </c>
      <c r="K226" s="18">
        <v>124.8</v>
      </c>
      <c r="L226" s="19">
        <f>SUM(F226:K226)</f>
        <v>1879832.07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202992.4</v>
      </c>
      <c r="I227" s="18"/>
      <c r="J227" s="18"/>
      <c r="K227" s="18"/>
      <c r="L227" s="19">
        <f>SUM(F227:K227)</f>
        <v>202992.4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149847.07</v>
      </c>
      <c r="G228" s="18">
        <v>33699.760000000002</v>
      </c>
      <c r="H228" s="18">
        <v>55980.85</v>
      </c>
      <c r="I228" s="18">
        <v>11381.95</v>
      </c>
      <c r="J228" s="18">
        <v>12133.01</v>
      </c>
      <c r="K228" s="18">
        <v>4605</v>
      </c>
      <c r="L228" s="19">
        <f>SUM(F228:K228)</f>
        <v>267647.64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332540.62</v>
      </c>
      <c r="G230" s="18">
        <v>162170.03</v>
      </c>
      <c r="H230" s="18">
        <v>2310</v>
      </c>
      <c r="I230" s="18">
        <v>3792.22</v>
      </c>
      <c r="J230" s="18">
        <v>1050.3800000000001</v>
      </c>
      <c r="K230" s="18">
        <v>635</v>
      </c>
      <c r="L230" s="19">
        <f t="shared" ref="L230:L236" si="4">SUM(F230:K230)</f>
        <v>502498.25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77271.02</v>
      </c>
      <c r="G231" s="18">
        <v>62642.5</v>
      </c>
      <c r="H231" s="18">
        <v>4501.84</v>
      </c>
      <c r="I231" s="18">
        <v>27964.959999999999</v>
      </c>
      <c r="J231" s="18">
        <v>650</v>
      </c>
      <c r="K231" s="18">
        <v>815.69</v>
      </c>
      <c r="L231" s="19">
        <f t="shared" si="4"/>
        <v>173846.01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145929.01</v>
      </c>
      <c r="G232" s="18">
        <v>54396.46</v>
      </c>
      <c r="H232" s="18">
        <f>39672.16-3309.25-5931.73</f>
        <v>30431.180000000004</v>
      </c>
      <c r="I232" s="18">
        <v>7104.76</v>
      </c>
      <c r="J232" s="18"/>
      <c r="K232" s="18">
        <v>10229.61</v>
      </c>
      <c r="L232" s="19">
        <f t="shared" si="4"/>
        <v>248091.02000000002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381473.45</v>
      </c>
      <c r="G233" s="18">
        <v>157227.48000000001</v>
      </c>
      <c r="H233" s="18">
        <v>12751.03</v>
      </c>
      <c r="I233" s="18">
        <v>12860.26</v>
      </c>
      <c r="J233" s="18"/>
      <c r="K233" s="18">
        <v>16423.8</v>
      </c>
      <c r="L233" s="19">
        <f t="shared" si="4"/>
        <v>580736.02000000014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55644.34</v>
      </c>
      <c r="G234" s="18">
        <v>30159.63</v>
      </c>
      <c r="H234" s="18">
        <v>54395.68</v>
      </c>
      <c r="I234" s="18">
        <v>3092.74</v>
      </c>
      <c r="J234" s="18">
        <v>1308</v>
      </c>
      <c r="K234" s="18">
        <v>166</v>
      </c>
      <c r="L234" s="19">
        <f t="shared" si="4"/>
        <v>144766.38999999998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434231.7</v>
      </c>
      <c r="G235" s="18">
        <v>249434.31</v>
      </c>
      <c r="H235" s="18">
        <f>147256.49-441.56-260.92</f>
        <v>146554.00999999998</v>
      </c>
      <c r="I235" s="18">
        <v>517907.44</v>
      </c>
      <c r="J235" s="18">
        <v>24987.15</v>
      </c>
      <c r="K235" s="18">
        <v>2806.56</v>
      </c>
      <c r="L235" s="19">
        <f t="shared" si="4"/>
        <v>1375921.17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435022.56</v>
      </c>
      <c r="I236" s="18"/>
      <c r="J236" s="18"/>
      <c r="K236" s="18"/>
      <c r="L236" s="19">
        <f t="shared" si="4"/>
        <v>435022.56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100850.88</v>
      </c>
      <c r="G237" s="18">
        <v>136699.63</v>
      </c>
      <c r="H237" s="18"/>
      <c r="I237" s="18"/>
      <c r="J237" s="18"/>
      <c r="K237" s="18"/>
      <c r="L237" s="19">
        <f>SUM(F237:K237)</f>
        <v>237550.51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4607307.68</v>
      </c>
      <c r="G239" s="41">
        <f t="shared" si="5"/>
        <v>2093361.8399999999</v>
      </c>
      <c r="H239" s="41">
        <f t="shared" si="5"/>
        <v>2072590.04</v>
      </c>
      <c r="I239" s="41">
        <f t="shared" si="5"/>
        <v>805231.39000000013</v>
      </c>
      <c r="J239" s="41">
        <f t="shared" si="5"/>
        <v>142907.04</v>
      </c>
      <c r="K239" s="41">
        <f t="shared" si="5"/>
        <v>46062.459999999992</v>
      </c>
      <c r="L239" s="41">
        <f t="shared" si="5"/>
        <v>9767460.4500000011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6" t="s">
        <v>724</v>
      </c>
      <c r="G240" s="176" t="s">
        <v>725</v>
      </c>
      <c r="H240" s="176" t="s">
        <v>726</v>
      </c>
      <c r="I240" s="176" t="s">
        <v>727</v>
      </c>
      <c r="J240" s="176" t="s">
        <v>728</v>
      </c>
      <c r="K240" s="176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>
        <v>0</v>
      </c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14423.87</v>
      </c>
      <c r="G245" s="18">
        <v>1259.24</v>
      </c>
      <c r="H245" s="18">
        <v>4440.42</v>
      </c>
      <c r="I245" s="18"/>
      <c r="J245" s="18"/>
      <c r="K245" s="18">
        <v>2500</v>
      </c>
      <c r="L245" s="19">
        <f t="shared" si="6"/>
        <v>22623.53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103590.99-315</f>
        <v>103275.99</v>
      </c>
      <c r="I247" s="18"/>
      <c r="J247" s="18"/>
      <c r="K247" s="18"/>
      <c r="L247" s="19">
        <f t="shared" si="6"/>
        <v>103275.99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14423.87</v>
      </c>
      <c r="G248" s="41">
        <f t="shared" si="7"/>
        <v>1259.24</v>
      </c>
      <c r="H248" s="41">
        <f t="shared" si="7"/>
        <v>107716.41</v>
      </c>
      <c r="I248" s="41">
        <f t="shared" si="7"/>
        <v>0</v>
      </c>
      <c r="J248" s="41">
        <f t="shared" si="7"/>
        <v>0</v>
      </c>
      <c r="K248" s="41">
        <f t="shared" si="7"/>
        <v>2500</v>
      </c>
      <c r="L248" s="41">
        <f>SUM(F248:K248)</f>
        <v>125899.52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13312010.01</v>
      </c>
      <c r="G249" s="41">
        <f t="shared" si="8"/>
        <v>5994284.1100000003</v>
      </c>
      <c r="H249" s="41">
        <f t="shared" si="8"/>
        <v>3826513.49</v>
      </c>
      <c r="I249" s="41">
        <f t="shared" si="8"/>
        <v>1685296.1</v>
      </c>
      <c r="J249" s="41">
        <f t="shared" si="8"/>
        <v>376605.67000000004</v>
      </c>
      <c r="K249" s="41">
        <f t="shared" si="8"/>
        <v>94976.25</v>
      </c>
      <c r="L249" s="41">
        <f t="shared" si="8"/>
        <v>25289685.629999999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1835474.25</v>
      </c>
      <c r="L252" s="19">
        <f>SUM(F252:K252)</f>
        <v>1835474.25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508488.25</v>
      </c>
      <c r="L253" s="19">
        <f>SUM(F253:K253)</f>
        <v>508488.25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15024.42</v>
      </c>
      <c r="L255" s="19">
        <f>SUM(F255:K255)</f>
        <v>15024.42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2358986.92</v>
      </c>
      <c r="L262" s="41">
        <f t="shared" si="9"/>
        <v>2358986.92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13312010.01</v>
      </c>
      <c r="G263" s="42">
        <f t="shared" si="11"/>
        <v>5994284.1100000003</v>
      </c>
      <c r="H263" s="42">
        <f t="shared" si="11"/>
        <v>3826513.49</v>
      </c>
      <c r="I263" s="42">
        <f t="shared" si="11"/>
        <v>1685296.1</v>
      </c>
      <c r="J263" s="42">
        <f t="shared" si="11"/>
        <v>376605.67000000004</v>
      </c>
      <c r="K263" s="42">
        <f t="shared" si="11"/>
        <v>2453963.17</v>
      </c>
      <c r="L263" s="42">
        <f t="shared" si="11"/>
        <v>27648672.549999997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6" t="s">
        <v>724</v>
      </c>
      <c r="G265" s="176" t="s">
        <v>725</v>
      </c>
      <c r="H265" s="176" t="s">
        <v>726</v>
      </c>
      <c r="I265" s="176" t="s">
        <v>727</v>
      </c>
      <c r="J265" s="176" t="s">
        <v>728</v>
      </c>
      <c r="K265" s="176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105372.39</v>
      </c>
      <c r="G268" s="18">
        <v>14392.15</v>
      </c>
      <c r="H268" s="18">
        <v>74476.7</v>
      </c>
      <c r="I268" s="18">
        <v>33339.5</v>
      </c>
      <c r="J268" s="18">
        <v>4667.04</v>
      </c>
      <c r="K268" s="18"/>
      <c r="L268" s="19">
        <f>SUM(F268:K268)</f>
        <v>232247.78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75732.17</v>
      </c>
      <c r="G269" s="18">
        <v>11452.14</v>
      </c>
      <c r="H269" s="18">
        <v>42820.39</v>
      </c>
      <c r="I269" s="18">
        <v>35518.1</v>
      </c>
      <c r="J269" s="18">
        <v>14629.24</v>
      </c>
      <c r="K269" s="18"/>
      <c r="L269" s="19">
        <f>SUM(F269:K269)</f>
        <v>180152.03999999998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65030.3</v>
      </c>
      <c r="G273" s="18">
        <v>8563.39</v>
      </c>
      <c r="H273" s="18">
        <v>1020.79</v>
      </c>
      <c r="I273" s="18"/>
      <c r="J273" s="18"/>
      <c r="K273" s="18"/>
      <c r="L273" s="19">
        <f t="shared" ref="L273:L279" si="12">SUM(F273:K273)</f>
        <v>74614.48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5850</v>
      </c>
      <c r="I274" s="18"/>
      <c r="J274" s="18"/>
      <c r="K274" s="18"/>
      <c r="L274" s="19">
        <f t="shared" si="12"/>
        <v>5850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246134.86</v>
      </c>
      <c r="G282" s="42">
        <f t="shared" si="13"/>
        <v>34407.68</v>
      </c>
      <c r="H282" s="42">
        <f t="shared" si="13"/>
        <v>124167.87999999999</v>
      </c>
      <c r="I282" s="42">
        <f t="shared" si="13"/>
        <v>68857.600000000006</v>
      </c>
      <c r="J282" s="42">
        <f t="shared" si="13"/>
        <v>19296.28</v>
      </c>
      <c r="K282" s="42">
        <f t="shared" si="13"/>
        <v>0</v>
      </c>
      <c r="L282" s="41">
        <f t="shared" si="13"/>
        <v>492864.29999999993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6" t="s">
        <v>724</v>
      </c>
      <c r="G284" s="176" t="s">
        <v>725</v>
      </c>
      <c r="H284" s="176" t="s">
        <v>726</v>
      </c>
      <c r="I284" s="176" t="s">
        <v>727</v>
      </c>
      <c r="J284" s="176" t="s">
        <v>728</v>
      </c>
      <c r="K284" s="176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9126.74</v>
      </c>
      <c r="G287" s="18"/>
      <c r="H287" s="18">
        <v>22702.63</v>
      </c>
      <c r="I287" s="18">
        <v>2015.49</v>
      </c>
      <c r="J287" s="18"/>
      <c r="K287" s="18"/>
      <c r="L287" s="19">
        <f>SUM(F287:K287)</f>
        <v>33844.86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43844.94</v>
      </c>
      <c r="G288" s="18">
        <v>6630.21</v>
      </c>
      <c r="H288" s="18">
        <v>7674.31</v>
      </c>
      <c r="I288" s="18">
        <v>2861.8</v>
      </c>
      <c r="J288" s="18">
        <v>220</v>
      </c>
      <c r="K288" s="18"/>
      <c r="L288" s="19">
        <f>SUM(F288:K288)</f>
        <v>61231.26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32719.54</v>
      </c>
      <c r="G292" s="18">
        <v>4239.66</v>
      </c>
      <c r="H292" s="18">
        <v>549.66</v>
      </c>
      <c r="I292" s="18"/>
      <c r="J292" s="18"/>
      <c r="K292" s="18"/>
      <c r="L292" s="19">
        <f t="shared" ref="L292:L298" si="14">SUM(F292:K292)</f>
        <v>37508.86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85691.22</v>
      </c>
      <c r="G301" s="42">
        <f t="shared" si="15"/>
        <v>10869.869999999999</v>
      </c>
      <c r="H301" s="42">
        <f t="shared" si="15"/>
        <v>30926.600000000002</v>
      </c>
      <c r="I301" s="42">
        <f t="shared" si="15"/>
        <v>4877.29</v>
      </c>
      <c r="J301" s="42">
        <f t="shared" si="15"/>
        <v>220</v>
      </c>
      <c r="K301" s="42">
        <f t="shared" si="15"/>
        <v>0</v>
      </c>
      <c r="L301" s="41">
        <f t="shared" si="15"/>
        <v>132584.97999999998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6" t="s">
        <v>724</v>
      </c>
      <c r="G303" s="176" t="s">
        <v>725</v>
      </c>
      <c r="H303" s="176" t="s">
        <v>726</v>
      </c>
      <c r="I303" s="176" t="s">
        <v>727</v>
      </c>
      <c r="J303" s="176" t="s">
        <v>728</v>
      </c>
      <c r="K303" s="176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20779.02</v>
      </c>
      <c r="G306" s="18">
        <v>515.75</v>
      </c>
      <c r="H306" s="18">
        <v>41277.51</v>
      </c>
      <c r="I306" s="18">
        <v>7838.8</v>
      </c>
      <c r="J306" s="18"/>
      <c r="K306" s="18"/>
      <c r="L306" s="19">
        <f>SUM(F306:K306)</f>
        <v>70411.08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79718.070000000007</v>
      </c>
      <c r="G307" s="18">
        <v>12054.89</v>
      </c>
      <c r="H307" s="18">
        <v>74073.3</v>
      </c>
      <c r="I307" s="18">
        <v>5203.2700000000004</v>
      </c>
      <c r="J307" s="18">
        <v>400</v>
      </c>
      <c r="K307" s="18"/>
      <c r="L307" s="19">
        <f>SUM(F307:K307)</f>
        <v>171449.53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59490.06</v>
      </c>
      <c r="G311" s="18">
        <v>7708.49</v>
      </c>
      <c r="H311" s="18">
        <f>1046.97-6.97</f>
        <v>1040</v>
      </c>
      <c r="I311" s="18"/>
      <c r="J311" s="18"/>
      <c r="K311" s="18"/>
      <c r="L311" s="19">
        <f t="shared" ref="L311:L317" si="16">SUM(F311:K311)</f>
        <v>68238.55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159987.15000000002</v>
      </c>
      <c r="G320" s="42">
        <f t="shared" si="17"/>
        <v>20279.129999999997</v>
      </c>
      <c r="H320" s="42">
        <f t="shared" si="17"/>
        <v>116390.81</v>
      </c>
      <c r="I320" s="42">
        <f t="shared" si="17"/>
        <v>13042.07</v>
      </c>
      <c r="J320" s="42">
        <f t="shared" si="17"/>
        <v>400</v>
      </c>
      <c r="K320" s="42">
        <f t="shared" si="17"/>
        <v>0</v>
      </c>
      <c r="L320" s="41">
        <f t="shared" si="17"/>
        <v>310099.15999999997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6" t="s">
        <v>724</v>
      </c>
      <c r="G322" s="176" t="s">
        <v>725</v>
      </c>
      <c r="H322" s="176" t="s">
        <v>726</v>
      </c>
      <c r="I322" s="176" t="s">
        <v>727</v>
      </c>
      <c r="J322" s="176" t="s">
        <v>728</v>
      </c>
      <c r="K322" s="176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>
        <f>497.5</f>
        <v>497.5</v>
      </c>
      <c r="I327" s="18">
        <v>0</v>
      </c>
      <c r="J327" s="18"/>
      <c r="K327" s="18"/>
      <c r="L327" s="19">
        <f t="shared" si="18"/>
        <v>497.5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497.5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497.5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491813.23</v>
      </c>
      <c r="G330" s="41">
        <f t="shared" si="20"/>
        <v>65556.679999999993</v>
      </c>
      <c r="H330" s="41">
        <f t="shared" si="20"/>
        <v>271982.78999999998</v>
      </c>
      <c r="I330" s="41">
        <f t="shared" si="20"/>
        <v>86776.959999999992</v>
      </c>
      <c r="J330" s="41">
        <f t="shared" si="20"/>
        <v>19916.28</v>
      </c>
      <c r="K330" s="41">
        <f t="shared" si="20"/>
        <v>0</v>
      </c>
      <c r="L330" s="41">
        <f t="shared" si="20"/>
        <v>936045.94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491813.23</v>
      </c>
      <c r="G344" s="41">
        <f>G330</f>
        <v>65556.679999999993</v>
      </c>
      <c r="H344" s="41">
        <f>H330</f>
        <v>271982.78999999998</v>
      </c>
      <c r="I344" s="41">
        <f>I330</f>
        <v>86776.959999999992</v>
      </c>
      <c r="J344" s="41">
        <f>J330</f>
        <v>19916.28</v>
      </c>
      <c r="K344" s="47">
        <f>K330+K343</f>
        <v>0</v>
      </c>
      <c r="L344" s="41">
        <f>L330+L343</f>
        <v>936045.94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6" t="s">
        <v>724</v>
      </c>
      <c r="G346" s="176" t="s">
        <v>725</v>
      </c>
      <c r="H346" s="176" t="s">
        <v>726</v>
      </c>
      <c r="I346" s="176" t="s">
        <v>727</v>
      </c>
      <c r="J346" s="176" t="s">
        <v>728</v>
      </c>
      <c r="K346" s="176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227120.08</v>
      </c>
      <c r="I350" s="18">
        <v>2253.23</v>
      </c>
      <c r="J350" s="18">
        <v>5550.39</v>
      </c>
      <c r="K350" s="18">
        <v>34.11</v>
      </c>
      <c r="L350" s="13">
        <f>SUM(F350:K350)</f>
        <v>234957.81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>
        <v>131490.57</v>
      </c>
      <c r="I351" s="18">
        <v>1304.51</v>
      </c>
      <c r="J351" s="18">
        <v>3213.38</v>
      </c>
      <c r="K351" s="18">
        <v>19.739999999999998</v>
      </c>
      <c r="L351" s="19">
        <f>SUM(F351:K351)</f>
        <v>136028.20000000001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>
        <v>239073.77</v>
      </c>
      <c r="I352" s="18">
        <v>2371.8200000000002</v>
      </c>
      <c r="J352" s="18">
        <v>5842.51</v>
      </c>
      <c r="K352" s="18">
        <v>35.9</v>
      </c>
      <c r="L352" s="19">
        <f>SUM(F352:K352)</f>
        <v>247324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597684.42000000004</v>
      </c>
      <c r="I354" s="47">
        <f t="shared" si="22"/>
        <v>5929.5599999999995</v>
      </c>
      <c r="J354" s="47">
        <f t="shared" si="22"/>
        <v>14606.28</v>
      </c>
      <c r="K354" s="47">
        <f t="shared" si="22"/>
        <v>89.75</v>
      </c>
      <c r="L354" s="47">
        <f t="shared" si="22"/>
        <v>618310.01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2253.23</v>
      </c>
      <c r="G360" s="63">
        <v>1304.51</v>
      </c>
      <c r="H360" s="63">
        <v>2371.8200000000002</v>
      </c>
      <c r="I360" s="56">
        <f>SUM(F360:H360)</f>
        <v>5929.5599999999995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2253.23</v>
      </c>
      <c r="G361" s="47">
        <f>SUM(G359:G360)</f>
        <v>1304.51</v>
      </c>
      <c r="H361" s="47">
        <f>SUM(H359:H360)</f>
        <v>2371.8200000000002</v>
      </c>
      <c r="I361" s="47">
        <f>SUM(I359:I360)</f>
        <v>5929.5599999999995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6" t="s">
        <v>724</v>
      </c>
      <c r="G363" s="176" t="s">
        <v>725</v>
      </c>
      <c r="H363" s="176" t="s">
        <v>726</v>
      </c>
      <c r="I363" s="176" t="s">
        <v>727</v>
      </c>
      <c r="J363" s="176" t="s">
        <v>728</v>
      </c>
      <c r="K363" s="176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530.52</v>
      </c>
      <c r="I388" s="18"/>
      <c r="J388" s="24" t="s">
        <v>312</v>
      </c>
      <c r="K388" s="24" t="s">
        <v>312</v>
      </c>
      <c r="L388" s="56">
        <f t="shared" si="26"/>
        <v>530.52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2127.64</v>
      </c>
      <c r="I389" s="18"/>
      <c r="J389" s="24" t="s">
        <v>312</v>
      </c>
      <c r="K389" s="24" t="s">
        <v>312</v>
      </c>
      <c r="L389" s="56">
        <f t="shared" si="26"/>
        <v>2127.64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2658.16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2658.16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2658.16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2658.16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6" t="s">
        <v>724</v>
      </c>
      <c r="G401" s="176" t="s">
        <v>725</v>
      </c>
      <c r="H401" s="176" t="s">
        <v>726</v>
      </c>
      <c r="I401" s="176" t="s">
        <v>727</v>
      </c>
      <c r="J401" s="176" t="s">
        <v>728</v>
      </c>
      <c r="K401" s="176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 t="s">
        <v>310</v>
      </c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f>224779.55+52908.79</f>
        <v>277688.33999999997</v>
      </c>
      <c r="H432" s="18"/>
      <c r="I432" s="56">
        <f t="shared" si="33"/>
        <v>277688.33999999997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277688.33999999997</v>
      </c>
      <c r="H438" s="13">
        <f>SUM(H431:H437)</f>
        <v>0</v>
      </c>
      <c r="I438" s="13">
        <f>SUM(I431:I437)</f>
        <v>277688.33999999997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G438</f>
        <v>277688.33999999997</v>
      </c>
      <c r="H449" s="18"/>
      <c r="I449" s="56">
        <f>SUM(F449:H449)</f>
        <v>277688.33999999997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277688.33999999997</v>
      </c>
      <c r="H450" s="83">
        <f>SUM(H446:H449)</f>
        <v>0</v>
      </c>
      <c r="I450" s="83">
        <f>SUM(I446:I449)</f>
        <v>277688.33999999997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277688.33999999997</v>
      </c>
      <c r="H451" s="42">
        <f>H444+H450</f>
        <v>0</v>
      </c>
      <c r="I451" s="42">
        <f>I444+I450</f>
        <v>277688.33999999997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8" t="s">
        <v>885</v>
      </c>
      <c r="B455" s="105">
        <v>19</v>
      </c>
      <c r="C455" s="111">
        <v>1</v>
      </c>
      <c r="D455" s="2" t="s">
        <v>456</v>
      </c>
      <c r="E455" s="111"/>
      <c r="F455" s="144">
        <v>945069.37</v>
      </c>
      <c r="G455" s="144">
        <v>64201.690000000061</v>
      </c>
      <c r="H455" s="144">
        <v>114527.84</v>
      </c>
      <c r="I455" s="18">
        <v>0</v>
      </c>
      <c r="J455" s="18">
        <v>275030.18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27872312.409999996</v>
      </c>
      <c r="G458" s="18">
        <f>G185</f>
        <v>607268.68000000005</v>
      </c>
      <c r="H458" s="18">
        <f>H185</f>
        <v>968602.26</v>
      </c>
      <c r="I458" s="18"/>
      <c r="J458" s="18">
        <f>L400</f>
        <v>2658.16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27872312.409999996</v>
      </c>
      <c r="G460" s="53">
        <f>SUM(G458:G459)</f>
        <v>607268.68000000005</v>
      </c>
      <c r="H460" s="53">
        <f>SUM(H458:H459)</f>
        <v>968602.26</v>
      </c>
      <c r="I460" s="53">
        <f>SUM(I458:I459)</f>
        <v>0</v>
      </c>
      <c r="J460" s="53">
        <f>SUM(J458:J459)</f>
        <v>2658.16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27648672.549999997</v>
      </c>
      <c r="G462" s="18">
        <f>L354</f>
        <v>618310.01</v>
      </c>
      <c r="H462" s="18">
        <f>L344</f>
        <v>936045.94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27648672.549999997</v>
      </c>
      <c r="G464" s="53">
        <f>SUM(G462:G463)</f>
        <v>618310.01</v>
      </c>
      <c r="H464" s="53">
        <f>SUM(H462:H463)</f>
        <v>936045.94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89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1168709.2300000004</v>
      </c>
      <c r="G466" s="53">
        <f>(G455+G460)- G464</f>
        <v>53160.360000000102</v>
      </c>
      <c r="H466" s="53">
        <f>(H455+H460)- H464</f>
        <v>147084.16000000015</v>
      </c>
      <c r="I466" s="53">
        <f>(I455+I460)- I464</f>
        <v>0</v>
      </c>
      <c r="J466" s="53">
        <f>(J455+J460)- J464</f>
        <v>277688.33999999997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0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29770200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4.54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20696923</v>
      </c>
      <c r="G485" s="18"/>
      <c r="H485" s="18"/>
      <c r="I485" s="18"/>
      <c r="J485" s="18"/>
      <c r="K485" s="53">
        <f>SUM(F485:J485)</f>
        <v>20696923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1835474.49</v>
      </c>
      <c r="G487" s="18"/>
      <c r="H487" s="18"/>
      <c r="I487" s="18"/>
      <c r="J487" s="18"/>
      <c r="K487" s="53">
        <f t="shared" si="34"/>
        <v>1835474.49</v>
      </c>
      <c r="L487" s="24" t="s">
        <v>312</v>
      </c>
    </row>
    <row r="488" spans="1:12" s="52" customFormat="1" ht="12" customHeight="1" x14ac:dyDescent="0.2">
      <c r="A488" s="200" t="s">
        <v>656</v>
      </c>
      <c r="B488" s="201">
        <v>20</v>
      </c>
      <c r="C488" s="202">
        <v>9</v>
      </c>
      <c r="D488" s="203" t="s">
        <v>456</v>
      </c>
      <c r="E488" s="202"/>
      <c r="F488" s="204">
        <f>F485-F487</f>
        <v>18861448.510000002</v>
      </c>
      <c r="G488" s="204"/>
      <c r="H488" s="204"/>
      <c r="I488" s="204"/>
      <c r="J488" s="204"/>
      <c r="K488" s="205">
        <f t="shared" si="34"/>
        <v>18861448.510000002</v>
      </c>
      <c r="L488" s="206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16314570.029999999</v>
      </c>
      <c r="G489" s="18"/>
      <c r="H489" s="18"/>
      <c r="I489" s="18"/>
      <c r="J489" s="18"/>
      <c r="K489" s="53">
        <f t="shared" si="34"/>
        <v>16314570.029999999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5">
        <v>11</v>
      </c>
      <c r="D490" s="39" t="s">
        <v>456</v>
      </c>
      <c r="E490" s="195"/>
      <c r="F490" s="42">
        <f>SUM(F488:F489)</f>
        <v>35176018.539999999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35176018.539999999</v>
      </c>
      <c r="L490" s="45" t="s">
        <v>312</v>
      </c>
    </row>
    <row r="491" spans="1:12" s="52" customFormat="1" ht="12" customHeight="1" x14ac:dyDescent="0.2">
      <c r="A491" s="200" t="s">
        <v>685</v>
      </c>
      <c r="B491" s="201">
        <v>20</v>
      </c>
      <c r="C491" s="202">
        <v>12</v>
      </c>
      <c r="D491" s="203" t="s">
        <v>456</v>
      </c>
      <c r="E491" s="202"/>
      <c r="F491" s="204">
        <v>1747252.48</v>
      </c>
      <c r="G491" s="204"/>
      <c r="H491" s="204"/>
      <c r="I491" s="204"/>
      <c r="J491" s="204"/>
      <c r="K491" s="205">
        <f t="shared" si="34"/>
        <v>1747252.48</v>
      </c>
      <c r="L491" s="206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596085.02</v>
      </c>
      <c r="G492" s="18"/>
      <c r="H492" s="18"/>
      <c r="I492" s="18"/>
      <c r="J492" s="18"/>
      <c r="K492" s="53">
        <f t="shared" si="34"/>
        <v>596085.02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5">
        <v>14</v>
      </c>
      <c r="D493" s="39" t="s">
        <v>456</v>
      </c>
      <c r="E493" s="195"/>
      <c r="F493" s="42">
        <f>SUM(F491:F492)</f>
        <v>2343337.5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2343337.5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224964</v>
      </c>
      <c r="G497" s="144">
        <f>I497-F497</f>
        <v>13908</v>
      </c>
      <c r="H497" s="144"/>
      <c r="I497" s="144">
        <v>238872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>
        <v>1101127</v>
      </c>
      <c r="G501" s="24" t="s">
        <v>312</v>
      </c>
      <c r="H501" s="18">
        <v>1101127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>
        <v>362005</v>
      </c>
      <c r="G502" s="24" t="s">
        <v>312</v>
      </c>
      <c r="H502" s="18">
        <v>362005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f>1411833.24+34546010.2</f>
        <v>35957843.440000005</v>
      </c>
      <c r="G503" s="24" t="s">
        <v>312</v>
      </c>
      <c r="H503" s="18">
        <f>34546010.2+1461027.94</f>
        <v>36007038.140000001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f>724217.49+120482.33</f>
        <v>844699.82</v>
      </c>
      <c r="G504" s="24" t="s">
        <v>312</v>
      </c>
      <c r="H504" s="18">
        <f>796838.64+120482.33</f>
        <v>917320.97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>
        <v>15000</v>
      </c>
      <c r="G505" s="24" t="s">
        <v>312</v>
      </c>
      <c r="H505" s="18">
        <v>34580</v>
      </c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>
        <v>38381978</v>
      </c>
      <c r="H506" s="24" t="s">
        <v>312</v>
      </c>
      <c r="I506" s="18">
        <v>38422071.109999999</v>
      </c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38280675.260000005</v>
      </c>
      <c r="G507" s="42">
        <f>SUM(G501:G506)</f>
        <v>38381978</v>
      </c>
      <c r="H507" s="42">
        <f>SUM(H501:H506)</f>
        <v>38422071.109999999</v>
      </c>
      <c r="I507" s="42">
        <f>SUM(I501:I506)</f>
        <v>38422071.109999999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6" t="s">
        <v>724</v>
      </c>
      <c r="G508" s="176" t="s">
        <v>725</v>
      </c>
      <c r="H508" s="176" t="s">
        <v>726</v>
      </c>
      <c r="I508" s="176" t="s">
        <v>727</v>
      </c>
      <c r="J508" s="176" t="s">
        <v>728</v>
      </c>
      <c r="K508" s="176" t="s">
        <v>729</v>
      </c>
      <c r="L508" s="106"/>
    </row>
    <row r="509" spans="1:12" s="52" customFormat="1" ht="12" customHeight="1" x14ac:dyDescent="0.2">
      <c r="A509" s="177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1868.45+23598.33+2613+1500+525182.66+273740.11+112017.9+77725.12</f>
        <v>1018245.5700000001</v>
      </c>
      <c r="G511" s="18">
        <f>601.44+3353.56+220.03+822.96+314066.56+169323.43+22248.74+11753.52</f>
        <v>522390.24</v>
      </c>
      <c r="H511" s="18">
        <f>4571.78+28003.25+12156.04+6077.5+37547.5+12277.2+4968+28000</f>
        <v>133601.27000000002</v>
      </c>
      <c r="I511" s="18">
        <f>4662.65+5048.04+1452.72+1409.62+5073.19+30575</f>
        <v>48221.22</v>
      </c>
      <c r="J511" s="18">
        <f>1366.44+395.41+1009.3+390+14249.24</f>
        <v>17410.39</v>
      </c>
      <c r="K511" s="18">
        <f>121.68</f>
        <v>121.68</v>
      </c>
      <c r="L511" s="88">
        <f>SUM(F511:K511)</f>
        <v>1739990.3699999999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1006.09+12706.8+1407+214725.12+241107.88+1620+41851.99</f>
        <v>514424.88</v>
      </c>
      <c r="G512" s="18">
        <f>323.85+1805.76+118.48+146471.49+169923.24+136.25+6328.82</f>
        <v>325107.88999999996</v>
      </c>
      <c r="H512" s="18">
        <f>2460.73+118522.17+845+6610.8</f>
        <v>128438.7</v>
      </c>
      <c r="I512" s="18">
        <f>2510.66+2208.52+3193.03+2731.72</f>
        <v>10643.93</v>
      </c>
      <c r="J512" s="18">
        <f>735.77+301.45+1885.3+210</f>
        <v>3132.52</v>
      </c>
      <c r="K512" s="18">
        <f>65.52</f>
        <v>65.52</v>
      </c>
      <c r="L512" s="88">
        <f>SUM(F512:K512)</f>
        <v>981813.44000000006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1916.36+24203.42+2680+269902.94+119373.14+147641.81+7533.03+79718.07</f>
        <v>652968.77</v>
      </c>
      <c r="G513" s="18">
        <f>616.86+3439.55+225.67+193500.86+61354.92+54638.79+646.18+12054.9</f>
        <v>326477.73</v>
      </c>
      <c r="H513" s="18">
        <f>4689+849320.06+97271.41+3418.37+7026.45+10335+12592+60120</f>
        <v>1044772.29</v>
      </c>
      <c r="I513" s="18">
        <f>4782.21+2321.16+1238.66+841.26+5203.27</f>
        <v>14386.560000000001</v>
      </c>
      <c r="J513" s="18">
        <f>1401.47+208.85+400</f>
        <v>2010.32</v>
      </c>
      <c r="K513" s="18">
        <f>124.8</f>
        <v>124.8</v>
      </c>
      <c r="L513" s="88">
        <f>SUM(F513:K513)</f>
        <v>2040740.4700000002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5">
        <v>4</v>
      </c>
      <c r="D514" s="196" t="s">
        <v>456</v>
      </c>
      <c r="E514" s="195"/>
      <c r="F514" s="108">
        <f>SUM(F511:F513)</f>
        <v>2185639.2200000002</v>
      </c>
      <c r="G514" s="108">
        <f t="shared" ref="G514:L514" si="35">SUM(G511:G513)</f>
        <v>1173975.8599999999</v>
      </c>
      <c r="H514" s="108">
        <f t="shared" si="35"/>
        <v>1306812.26</v>
      </c>
      <c r="I514" s="108">
        <f t="shared" si="35"/>
        <v>73251.710000000006</v>
      </c>
      <c r="J514" s="108">
        <f t="shared" si="35"/>
        <v>22553.23</v>
      </c>
      <c r="K514" s="108">
        <f t="shared" si="35"/>
        <v>312</v>
      </c>
      <c r="L514" s="89">
        <f t="shared" si="35"/>
        <v>4762544.28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253.5+128179.26+117802.92+24829.54+22618.03+13691</f>
        <v>307374.25</v>
      </c>
      <c r="G516" s="18">
        <f>82.12+56439.09+55357.64+3699.32+3242.71+2051.98</f>
        <v>120872.86000000002</v>
      </c>
      <c r="H516" s="18">
        <f>7452.36+1500</f>
        <v>8952.36</v>
      </c>
      <c r="I516" s="18"/>
      <c r="J516" s="18"/>
      <c r="K516" s="18"/>
      <c r="L516" s="88">
        <f>SUM(F516:K516)</f>
        <v>437199.47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136.5+67178.6+4461.6+13369.75+12178.94+7366.69</f>
        <v>104692.08000000002</v>
      </c>
      <c r="G517" s="18">
        <f>44.22+27529.48+2205.13+1991.94+1746.08+1104.91</f>
        <v>34621.760000000002</v>
      </c>
      <c r="H517" s="18"/>
      <c r="I517" s="18"/>
      <c r="J517" s="18"/>
      <c r="K517" s="18"/>
      <c r="L517" s="88">
        <f>SUM(F517:K517)</f>
        <v>139313.84000000003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260+9424.8+25466.19+23197.98+14031.79</f>
        <v>72380.760000000009</v>
      </c>
      <c r="G518" s="18">
        <f>84.23+18051.46+3794.17+3325.86+2104.6</f>
        <v>27360.32</v>
      </c>
      <c r="H518" s="18"/>
      <c r="I518" s="18"/>
      <c r="J518" s="18"/>
      <c r="K518" s="18"/>
      <c r="L518" s="88">
        <f>SUM(F518:K518)</f>
        <v>99741.080000000016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484447.09</v>
      </c>
      <c r="G519" s="89">
        <f t="shared" ref="G519:L519" si="36">SUM(G516:G518)</f>
        <v>182854.94000000003</v>
      </c>
      <c r="H519" s="89">
        <f t="shared" si="36"/>
        <v>8952.36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676254.39000000013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57871.18</f>
        <v>57871.18</v>
      </c>
      <c r="G521" s="18">
        <f>29635.52</f>
        <v>29635.52</v>
      </c>
      <c r="H521" s="18">
        <f>2372.07</f>
        <v>2372.0700000000002</v>
      </c>
      <c r="I521" s="18">
        <f>4577.31</f>
        <v>4577.3100000000004</v>
      </c>
      <c r="J521" s="18"/>
      <c r="K521" s="18">
        <f>344.37</f>
        <v>344.37</v>
      </c>
      <c r="L521" s="88">
        <f>SUM(F521:K521)</f>
        <v>94800.45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31161.4</v>
      </c>
      <c r="G522" s="18">
        <f>15957.59</f>
        <v>15957.59</v>
      </c>
      <c r="H522" s="18">
        <f>1277.27</f>
        <v>1277.27</v>
      </c>
      <c r="I522" s="18">
        <f>2464.7</f>
        <v>2464.6999999999998</v>
      </c>
      <c r="J522" s="18"/>
      <c r="K522" s="18">
        <f>185.43</f>
        <v>185.43</v>
      </c>
      <c r="L522" s="88">
        <f>SUM(F522:K522)</f>
        <v>51046.39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59355.05</v>
      </c>
      <c r="G523" s="18">
        <f>30395.4</f>
        <v>30395.4</v>
      </c>
      <c r="H523" s="18">
        <f>2432.9</f>
        <v>2432.9</v>
      </c>
      <c r="I523" s="18">
        <v>4694.67</v>
      </c>
      <c r="J523" s="18"/>
      <c r="K523" s="18">
        <f>353.2</f>
        <v>353.2</v>
      </c>
      <c r="L523" s="88">
        <f>SUM(F523:K523)</f>
        <v>97231.22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148387.63</v>
      </c>
      <c r="G524" s="89">
        <f t="shared" ref="G524:L524" si="37">SUM(G521:G523)</f>
        <v>75988.510000000009</v>
      </c>
      <c r="H524" s="89">
        <f t="shared" si="37"/>
        <v>6082.24</v>
      </c>
      <c r="I524" s="89">
        <f t="shared" si="37"/>
        <v>11736.68</v>
      </c>
      <c r="J524" s="89">
        <f t="shared" si="37"/>
        <v>0</v>
      </c>
      <c r="K524" s="89">
        <f t="shared" si="37"/>
        <v>883</v>
      </c>
      <c r="L524" s="89">
        <f t="shared" si="37"/>
        <v>243078.06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4" t="s">
        <v>312</v>
      </c>
      <c r="G525" s="194" t="s">
        <v>312</v>
      </c>
      <c r="H525" s="194" t="s">
        <v>312</v>
      </c>
      <c r="I525" s="194" t="s">
        <v>312</v>
      </c>
      <c r="J525" s="194" t="s">
        <v>312</v>
      </c>
      <c r="K525" s="194" t="s">
        <v>312</v>
      </c>
      <c r="L525" s="194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122715.44</v>
      </c>
      <c r="I531" s="18"/>
      <c r="J531" s="18"/>
      <c r="K531" s="18"/>
      <c r="L531" s="88">
        <f>SUM(F531:K531)</f>
        <v>122715.44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44977.08</v>
      </c>
      <c r="I532" s="18"/>
      <c r="J532" s="18"/>
      <c r="K532" s="18"/>
      <c r="L532" s="88">
        <f>SUM(F532:K532)</f>
        <v>44977.08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106054.26</v>
      </c>
      <c r="I533" s="18"/>
      <c r="J533" s="18"/>
      <c r="K533" s="18"/>
      <c r="L533" s="88">
        <f>SUM(F533:K533)</f>
        <v>106054.26</v>
      </c>
      <c r="M533" s="8"/>
    </row>
    <row r="534" spans="1:13" s="3" customFormat="1" ht="12" customHeight="1" thickTop="1" thickBot="1" x14ac:dyDescent="0.2">
      <c r="A534" s="130" t="s">
        <v>71</v>
      </c>
      <c r="B534" s="191">
        <v>21</v>
      </c>
      <c r="C534" s="191">
        <v>20</v>
      </c>
      <c r="D534" s="192" t="s">
        <v>456</v>
      </c>
      <c r="E534" s="191"/>
      <c r="F534" s="193">
        <f>SUM(F531:F533)</f>
        <v>0</v>
      </c>
      <c r="G534" s="193">
        <f t="shared" ref="G534:L534" si="39">SUM(G531:G533)</f>
        <v>0</v>
      </c>
      <c r="H534" s="193">
        <f t="shared" si="39"/>
        <v>273746.78000000003</v>
      </c>
      <c r="I534" s="193">
        <f t="shared" si="39"/>
        <v>0</v>
      </c>
      <c r="J534" s="193">
        <f t="shared" si="39"/>
        <v>0</v>
      </c>
      <c r="K534" s="193">
        <f t="shared" si="39"/>
        <v>0</v>
      </c>
      <c r="L534" s="193">
        <f t="shared" si="39"/>
        <v>273746.78000000003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2818473.94</v>
      </c>
      <c r="G535" s="89">
        <f t="shared" ref="G535:L535" si="40">G514+G519+G524+G529+G534</f>
        <v>1432819.3099999998</v>
      </c>
      <c r="H535" s="89">
        <f t="shared" si="40"/>
        <v>1595593.6400000001</v>
      </c>
      <c r="I535" s="89">
        <f t="shared" si="40"/>
        <v>84988.390000000014</v>
      </c>
      <c r="J535" s="89">
        <f t="shared" si="40"/>
        <v>22553.23</v>
      </c>
      <c r="K535" s="89">
        <f t="shared" si="40"/>
        <v>1195</v>
      </c>
      <c r="L535" s="89">
        <f t="shared" si="40"/>
        <v>5955623.5099999998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1739990.3699999999</v>
      </c>
      <c r="G539" s="87">
        <f>L516</f>
        <v>437199.47</v>
      </c>
      <c r="H539" s="87">
        <f>L521</f>
        <v>94800.45</v>
      </c>
      <c r="I539" s="87">
        <f>L526</f>
        <v>0</v>
      </c>
      <c r="J539" s="87">
        <f>L531</f>
        <v>122715.44</v>
      </c>
      <c r="K539" s="87">
        <f>SUM(F539:J539)</f>
        <v>2394705.73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981813.44000000006</v>
      </c>
      <c r="G540" s="87">
        <f>L517</f>
        <v>139313.84000000003</v>
      </c>
      <c r="H540" s="87">
        <f>L522</f>
        <v>51046.39</v>
      </c>
      <c r="I540" s="87">
        <f>L527</f>
        <v>0</v>
      </c>
      <c r="J540" s="87">
        <f>L532</f>
        <v>44977.08</v>
      </c>
      <c r="K540" s="87">
        <f>SUM(F540:J540)</f>
        <v>1217150.75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2040740.4700000002</v>
      </c>
      <c r="G541" s="87">
        <f>L518</f>
        <v>99741.080000000016</v>
      </c>
      <c r="H541" s="87">
        <f>L523</f>
        <v>97231.22</v>
      </c>
      <c r="I541" s="87">
        <f>L528</f>
        <v>0</v>
      </c>
      <c r="J541" s="87">
        <f>L533</f>
        <v>106054.26</v>
      </c>
      <c r="K541" s="87">
        <f>SUM(F541:J541)</f>
        <v>2343767.0300000003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4762544.28</v>
      </c>
      <c r="G542" s="89">
        <f t="shared" si="41"/>
        <v>676254.39000000013</v>
      </c>
      <c r="H542" s="89">
        <f t="shared" si="41"/>
        <v>243078.06</v>
      </c>
      <c r="I542" s="89">
        <f t="shared" si="41"/>
        <v>0</v>
      </c>
      <c r="J542" s="89">
        <f t="shared" si="41"/>
        <v>273746.78000000003</v>
      </c>
      <c r="K542" s="89">
        <f t="shared" si="41"/>
        <v>5955623.5099999998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6" t="s">
        <v>724</v>
      </c>
      <c r="G544" s="176" t="s">
        <v>725</v>
      </c>
      <c r="H544" s="176" t="s">
        <v>726</v>
      </c>
      <c r="I544" s="176" t="s">
        <v>727</v>
      </c>
      <c r="J544" s="176" t="s">
        <v>728</v>
      </c>
      <c r="K544" s="176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5">
        <v>4</v>
      </c>
      <c r="D550" s="196" t="s">
        <v>456</v>
      </c>
      <c r="E550" s="195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>
        <f>17244</f>
        <v>17244</v>
      </c>
      <c r="I552" s="18">
        <v>174.59</v>
      </c>
      <c r="J552" s="18"/>
      <c r="K552" s="18"/>
      <c r="L552" s="88">
        <f>SUM(F552:K552)</f>
        <v>17418.59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>
        <v>6429</v>
      </c>
      <c r="I553" s="18">
        <v>69.52</v>
      </c>
      <c r="J553" s="18"/>
      <c r="K553" s="18"/>
      <c r="L553" s="88">
        <f>SUM(F553:K553)</f>
        <v>6498.52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>
        <f>8901.8</f>
        <v>8901.7999999999993</v>
      </c>
      <c r="I554" s="18">
        <v>48.75</v>
      </c>
      <c r="J554" s="18"/>
      <c r="K554" s="18"/>
      <c r="L554" s="88">
        <f>SUM(F554:K554)</f>
        <v>8950.5499999999993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6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32574.799999999999</v>
      </c>
      <c r="I555" s="89">
        <f t="shared" si="43"/>
        <v>292.86</v>
      </c>
      <c r="J555" s="89">
        <f t="shared" si="43"/>
        <v>0</v>
      </c>
      <c r="K555" s="89">
        <f t="shared" si="43"/>
        <v>0</v>
      </c>
      <c r="L555" s="89">
        <f t="shared" si="43"/>
        <v>32867.660000000003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1">
        <v>22</v>
      </c>
      <c r="C560" s="191">
        <v>12</v>
      </c>
      <c r="D560" s="197" t="s">
        <v>456</v>
      </c>
      <c r="E560" s="191"/>
      <c r="F560" s="193">
        <f>SUM(F557:F559)</f>
        <v>0</v>
      </c>
      <c r="G560" s="193">
        <f t="shared" ref="G560:L560" si="44">SUM(G557:G559)</f>
        <v>0</v>
      </c>
      <c r="H560" s="193">
        <f t="shared" si="44"/>
        <v>0</v>
      </c>
      <c r="I560" s="193">
        <f t="shared" si="44"/>
        <v>0</v>
      </c>
      <c r="J560" s="193">
        <f t="shared" si="44"/>
        <v>0</v>
      </c>
      <c r="K560" s="193">
        <f t="shared" si="44"/>
        <v>0</v>
      </c>
      <c r="L560" s="193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32574.799999999999</v>
      </c>
      <c r="I561" s="89">
        <f t="shared" si="45"/>
        <v>292.86</v>
      </c>
      <c r="J561" s="89">
        <f t="shared" si="45"/>
        <v>0</v>
      </c>
      <c r="K561" s="89">
        <f t="shared" si="45"/>
        <v>0</v>
      </c>
      <c r="L561" s="89">
        <f t="shared" si="45"/>
        <v>32867.660000000003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82949</v>
      </c>
      <c r="I569" s="87">
        <f t="shared" si="46"/>
        <v>82949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>
        <f>215190.8+13798.82</f>
        <v>228989.62</v>
      </c>
      <c r="I570" s="87">
        <f t="shared" si="46"/>
        <v>228989.62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11556.04+600</f>
        <v>12156.04</v>
      </c>
      <c r="G572" s="18">
        <v>100587.02</v>
      </c>
      <c r="H572" s="18">
        <f>499865.78+83472.59</f>
        <v>583338.37</v>
      </c>
      <c r="I572" s="87">
        <f t="shared" si="46"/>
        <v>696081.42999999993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202992.4</v>
      </c>
      <c r="I574" s="87">
        <f t="shared" si="46"/>
        <v>202992.4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666299.23*0.38</f>
        <v>253193.70739999998</v>
      </c>
      <c r="I581" s="18">
        <f>666299.23*0.22</f>
        <v>146585.83059999999</v>
      </c>
      <c r="J581" s="18">
        <f>666299-H581-I581-J583+0.23</f>
        <v>242442.89200000008</v>
      </c>
      <c r="K581" s="104">
        <f t="shared" ref="K581:K587" si="47">SUM(H581:J581)</f>
        <v>642222.43000000005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59999.92+54971.67+7743.85</f>
        <v>122715.44</v>
      </c>
      <c r="I582" s="18">
        <v>44977.08</v>
      </c>
      <c r="J582" s="18">
        <v>106054.26</v>
      </c>
      <c r="K582" s="104">
        <f t="shared" si="47"/>
        <v>273746.78000000003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24076.799999999999</v>
      </c>
      <c r="K583" s="104">
        <f t="shared" si="47"/>
        <v>24076.799999999999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13308.37</v>
      </c>
      <c r="J584" s="18">
        <v>55441.51</v>
      </c>
      <c r="K584" s="104">
        <f t="shared" si="47"/>
        <v>68749.88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>
        <v>8498.82</v>
      </c>
      <c r="J585" s="18">
        <f>516+6491.1</f>
        <v>7007.1</v>
      </c>
      <c r="K585" s="104">
        <f t="shared" si="47"/>
        <v>15505.92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375909.14740000002</v>
      </c>
      <c r="I588" s="108">
        <f>SUM(I581:I587)</f>
        <v>213370.10060000001</v>
      </c>
      <c r="J588" s="108">
        <f>SUM(J581:J587)</f>
        <v>435022.56200000003</v>
      </c>
      <c r="K588" s="108">
        <f>SUM(K581:K587)</f>
        <v>1024301.8100000002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1009.3+34375.7+42315.1+14249.24+63308.65-5550.39</f>
        <v>149707.6</v>
      </c>
      <c r="I594" s="18">
        <f>68201.7+36652.37-3213.38-0.2</f>
        <v>101640.49</v>
      </c>
      <c r="J594" s="18">
        <f>84378.41+66640.68-5842.51-2.72</f>
        <v>145173.85999999999</v>
      </c>
      <c r="K594" s="104">
        <f>SUM(H594:J594)</f>
        <v>396521.95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149707.6</v>
      </c>
      <c r="I595" s="108">
        <f>SUM(I592:I594)</f>
        <v>101640.49</v>
      </c>
      <c r="J595" s="108">
        <f>SUM(J592:J594)</f>
        <v>145173.85999999999</v>
      </c>
      <c r="K595" s="108">
        <f>SUM(K592:K594)</f>
        <v>396521.95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6" t="s">
        <v>724</v>
      </c>
      <c r="G599" s="176" t="s">
        <v>725</v>
      </c>
      <c r="H599" s="176" t="s">
        <v>726</v>
      </c>
      <c r="I599" s="176" t="s">
        <v>727</v>
      </c>
      <c r="J599" s="176" t="s">
        <v>728</v>
      </c>
      <c r="K599" s="176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60508.55*0.38</f>
        <v>22993.249</v>
      </c>
      <c r="G601" s="18">
        <f>8598.88*0.38</f>
        <v>3267.5743999999995</v>
      </c>
      <c r="H601" s="18">
        <f>11722.5*0.38+11556.04+600</f>
        <v>16610.59</v>
      </c>
      <c r="I601" s="18"/>
      <c r="J601" s="18"/>
      <c r="K601" s="18"/>
      <c r="L601" s="88">
        <f>SUM(F601:K601)</f>
        <v>42871.413400000005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60508.55*0.22</f>
        <v>13311.881000000001</v>
      </c>
      <c r="G602" s="18">
        <f>8598.88*0.22</f>
        <v>1891.7535999999998</v>
      </c>
      <c r="H602" s="18">
        <f>11722.5*0.22</f>
        <v>2578.9499999999998</v>
      </c>
      <c r="I602" s="18"/>
      <c r="J602" s="18"/>
      <c r="K602" s="18"/>
      <c r="L602" s="88">
        <f>SUM(F602:K602)</f>
        <v>17782.584600000002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60508.55-F601-F602</f>
        <v>24203.420000000006</v>
      </c>
      <c r="G603" s="18">
        <f>8598.88-G601-G602</f>
        <v>3439.5519999999997</v>
      </c>
      <c r="H603" s="18">
        <f>4689+13798.82+83472.59</f>
        <v>101960.41</v>
      </c>
      <c r="I603" s="18"/>
      <c r="J603" s="18"/>
      <c r="K603" s="18"/>
      <c r="L603" s="88">
        <f>SUM(F603:K603)</f>
        <v>129603.38200000001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60508.55000000001</v>
      </c>
      <c r="G604" s="108">
        <f t="shared" si="48"/>
        <v>8598.8799999999992</v>
      </c>
      <c r="H604" s="108">
        <f t="shared" si="48"/>
        <v>121149.95000000001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190257.38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1666625.65</v>
      </c>
      <c r="H607" s="109">
        <f>SUM(F44)</f>
        <v>1666625.65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60079.13</v>
      </c>
      <c r="H608" s="109">
        <f>SUM(G44)</f>
        <v>60079.130000000005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339379</v>
      </c>
      <c r="H609" s="109">
        <f>SUM(H44)</f>
        <v>339379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277688.33999999997</v>
      </c>
      <c r="H611" s="109">
        <f>SUM(J44)</f>
        <v>277688.33999999997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1168709.23</v>
      </c>
      <c r="H612" s="109">
        <f>F466</f>
        <v>1168709.2300000004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53160.36</v>
      </c>
      <c r="H613" s="109">
        <f>G466</f>
        <v>53160.360000000102</v>
      </c>
      <c r="I613" s="121" t="s">
        <v>108</v>
      </c>
      <c r="J613" s="109">
        <f t="shared" si="49"/>
        <v>-1.0186340659856796E-10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147084.16</v>
      </c>
      <c r="H614" s="109">
        <f>H466</f>
        <v>147084.16000000015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277688.33999999997</v>
      </c>
      <c r="H616" s="109">
        <f>J466</f>
        <v>277688.33999999997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27872312.409999996</v>
      </c>
      <c r="H617" s="104">
        <f>SUM(F458)</f>
        <v>27872312.409999996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607268.68000000005</v>
      </c>
      <c r="H618" s="104">
        <f>SUM(G458)</f>
        <v>607268.68000000005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968602.26</v>
      </c>
      <c r="H619" s="104">
        <f>SUM(H458)</f>
        <v>968602.26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2658.16</v>
      </c>
      <c r="H621" s="104">
        <f>SUM(J458)</f>
        <v>2658.16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27648672.549999997</v>
      </c>
      <c r="H622" s="104">
        <f>SUM(F462)</f>
        <v>27648672.549999997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936045.94</v>
      </c>
      <c r="H623" s="104">
        <f>SUM(H462)</f>
        <v>936045.94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5929.5599999999995</v>
      </c>
      <c r="H624" s="104">
        <f>I361</f>
        <v>5929.5599999999995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618310.01</v>
      </c>
      <c r="H625" s="104">
        <f>SUM(G462)</f>
        <v>618310.01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2658.16</v>
      </c>
      <c r="H627" s="164">
        <f>SUM(J458)</f>
        <v>2658.16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277688.33999999997</v>
      </c>
      <c r="H630" s="104">
        <f>SUM(G451)</f>
        <v>277688.33999999997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277688.33999999997</v>
      </c>
      <c r="H632" s="104">
        <f>SUM(I451)</f>
        <v>277688.33999999997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2658.16</v>
      </c>
      <c r="H634" s="104">
        <f>H400</f>
        <v>2658.16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2658.16</v>
      </c>
      <c r="H636" s="104">
        <f>L400</f>
        <v>2658.16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1024301.8100000002</v>
      </c>
      <c r="H637" s="104">
        <f>L200+L218+L236</f>
        <v>1024301.81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396521.95</v>
      </c>
      <c r="H638" s="104">
        <f>(J249+J330)-(J247+J328)</f>
        <v>396521.95000000007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375909.15</v>
      </c>
      <c r="H639" s="104">
        <f>H588</f>
        <v>375909.14740000002</v>
      </c>
      <c r="I639" s="140" t="s">
        <v>412</v>
      </c>
      <c r="J639" s="109">
        <f t="shared" si="49"/>
        <v>2.6000000070780516E-3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213370.1</v>
      </c>
      <c r="H640" s="104">
        <f>I588</f>
        <v>213370.10060000001</v>
      </c>
      <c r="I640" s="140" t="s">
        <v>413</v>
      </c>
      <c r="J640" s="109">
        <f t="shared" si="49"/>
        <v>-5.9999999939464033E-4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435022.56</v>
      </c>
      <c r="H641" s="104">
        <f>J588</f>
        <v>435022.56200000003</v>
      </c>
      <c r="I641" s="140" t="s">
        <v>414</v>
      </c>
      <c r="J641" s="109">
        <f t="shared" si="49"/>
        <v>-2.0000000367872417E-3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15024.42</v>
      </c>
      <c r="H642" s="104">
        <f>K255+K337</f>
        <v>15024.42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10522501.780000001</v>
      </c>
      <c r="G650" s="19">
        <f>(L221+L301+L351)</f>
        <v>5870259.169999999</v>
      </c>
      <c r="H650" s="19">
        <f>(L239+L320+L352)</f>
        <v>10324883.610000001</v>
      </c>
      <c r="I650" s="19">
        <f>SUM(F650:H650)</f>
        <v>26717644.560000002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172432.60455010264</v>
      </c>
      <c r="G651" s="19">
        <f>(L351/IF(SUM(L350:L352)=0,1,SUM(L350:L352))*(SUM(G89:G102)))</f>
        <v>99829.398385447465</v>
      </c>
      <c r="H651" s="19">
        <f>(L352/IF(SUM(L350:L352)=0,1,SUM(L350:L352))*(SUM(G89:G102)))</f>
        <v>181507.99706444991</v>
      </c>
      <c r="I651" s="19">
        <f>SUM(F651:H651)</f>
        <v>453770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375909.15</v>
      </c>
      <c r="G652" s="19">
        <f>(L218+L298)-(J218+J298)</f>
        <v>213370.1</v>
      </c>
      <c r="H652" s="19">
        <f>(L236+L317)-(J236+J317)</f>
        <v>435022.56</v>
      </c>
      <c r="I652" s="19">
        <f>SUM(F652:H652)</f>
        <v>1024301.81</v>
      </c>
      <c r="J652"/>
      <c r="K652" s="13"/>
      <c r="L652" s="13"/>
      <c r="M652" s="9"/>
    </row>
    <row r="653" spans="1:13" s="3" customFormat="1" ht="12" customHeight="1" x14ac:dyDescent="0.15">
      <c r="A653" s="198" t="s">
        <v>142</v>
      </c>
      <c r="B653" s="169"/>
      <c r="C653" s="169"/>
      <c r="D653" s="169"/>
      <c r="E653" s="169"/>
      <c r="F653" s="199">
        <f>SUM(F565:F577)+SUM(H592:H594)+SUM(L601)</f>
        <v>204735.05340000003</v>
      </c>
      <c r="G653" s="199">
        <f>SUM(G565:G577)+SUM(I592:I594)+L602</f>
        <v>220010.09460000001</v>
      </c>
      <c r="H653" s="199">
        <f>SUM(H565:H577)+SUM(J592:J594)+L603</f>
        <v>1373046.632</v>
      </c>
      <c r="I653" s="19">
        <f>SUM(F653:H653)</f>
        <v>1797791.78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9769424.9720498994</v>
      </c>
      <c r="G654" s="19">
        <f>G650-SUM(G651:G653)</f>
        <v>5337049.5770145515</v>
      </c>
      <c r="H654" s="19">
        <f>H650-SUM(H651:H653)</f>
        <v>8335306.4209355516</v>
      </c>
      <c r="I654" s="19">
        <f>I650-SUM(I651:I653)</f>
        <v>23441780.970000003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7">
        <v>710.68</v>
      </c>
      <c r="G655" s="248">
        <v>393.13</v>
      </c>
      <c r="H655" s="248">
        <v>743.82</v>
      </c>
      <c r="I655" s="19">
        <f>SUM(F655:H655)</f>
        <v>1847.63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13746.59</v>
      </c>
      <c r="G657" s="19">
        <f>ROUND(G654/G655,2)</f>
        <v>13575.79</v>
      </c>
      <c r="H657" s="19">
        <f>ROUND(H654/H655,2)</f>
        <v>11206.08</v>
      </c>
      <c r="I657" s="19">
        <f>ROUND(I654/I655,2)</f>
        <v>12687.49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-42.27</v>
      </c>
      <c r="I660" s="19">
        <f>SUM(F660:H660)</f>
        <v>-42.27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13746.59</v>
      </c>
      <c r="G662" s="19">
        <f>ROUND((G654+G659)/(G655+G660),2)</f>
        <v>13575.79</v>
      </c>
      <c r="H662" s="19">
        <f>ROUND((H654+H659)/(H655+H660),2)</f>
        <v>11881.27</v>
      </c>
      <c r="I662" s="19">
        <f>ROUND((I654+I659)/(I655+I660),2)</f>
        <v>12984.55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D551-750C-4A1A-B538-DFC7E49A142E}">
  <sheetPr>
    <tabColor indexed="20"/>
  </sheetPr>
  <dimension ref="A1:C52"/>
  <sheetViews>
    <sheetView workbookViewId="0">
      <selection activeCell="B33" sqref="B33:C3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819</v>
      </c>
      <c r="B1" s="232" t="str">
        <f>'DOE25'!A2</f>
        <v>Sanborn Regional School District</v>
      </c>
      <c r="C1" s="238" t="s">
        <v>873</v>
      </c>
    </row>
    <row r="2" spans="1:3" x14ac:dyDescent="0.2">
      <c r="A2" s="233"/>
      <c r="B2" s="232"/>
    </row>
    <row r="3" spans="1:3" x14ac:dyDescent="0.2">
      <c r="A3" s="276" t="s">
        <v>818</v>
      </c>
      <c r="B3" s="276"/>
      <c r="C3" s="276"/>
    </row>
    <row r="4" spans="1:3" x14ac:dyDescent="0.2">
      <c r="A4" s="236"/>
      <c r="B4" s="237" t="str">
        <f>'DOE25'!H1</f>
        <v>DOE 25  2009-2010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817</v>
      </c>
      <c r="C6" s="275"/>
    </row>
    <row r="7" spans="1:3" x14ac:dyDescent="0.2">
      <c r="A7" s="239" t="s">
        <v>820</v>
      </c>
      <c r="B7" s="273" t="s">
        <v>816</v>
      </c>
      <c r="C7" s="274"/>
    </row>
    <row r="8" spans="1:3" x14ac:dyDescent="0.2">
      <c r="B8" s="228" t="s">
        <v>54</v>
      </c>
      <c r="C8" s="228" t="s">
        <v>810</v>
      </c>
    </row>
    <row r="9" spans="1:3" x14ac:dyDescent="0.2">
      <c r="A9" s="33" t="s">
        <v>811</v>
      </c>
      <c r="B9" s="229">
        <f>'DOE25'!F189+'DOE25'!F207+'DOE25'!F225+'DOE25'!F268+'DOE25'!F287+'DOE25'!F306</f>
        <v>6931937.0799999991</v>
      </c>
      <c r="C9" s="229">
        <f>'DOE25'!G189+'DOE25'!G207+'DOE25'!G225+'DOE25'!G268+'DOE25'!G287+'DOE25'!G306</f>
        <v>2526221.06</v>
      </c>
    </row>
    <row r="10" spans="1:3" x14ac:dyDescent="0.2">
      <c r="A10" t="s">
        <v>813</v>
      </c>
      <c r="B10" s="240">
        <f>1302961.87+1105915.89+1496354.51+2125161.5+22632.07+56340+4500+4500+1200+540.06+540+23525+13280+17600+11590+30483+1597.5+38460+55040.25+63305.61+34251.43+750+35500.77+4184.94+1545</f>
        <v>6451759.3999999994</v>
      </c>
      <c r="C10" s="240">
        <f>(+B10/B13)*C9</f>
        <v>2351228.8530946919</v>
      </c>
    </row>
    <row r="11" spans="1:3" x14ac:dyDescent="0.2">
      <c r="A11" t="s">
        <v>814</v>
      </c>
      <c r="B11" s="240">
        <f>17891.42+16761.14+18795.91+15036.22+51812.24</f>
        <v>120296.93</v>
      </c>
      <c r="C11" s="240">
        <f>(+B11/B13)*C9</f>
        <v>43840.074500408744</v>
      </c>
    </row>
    <row r="12" spans="1:3" x14ac:dyDescent="0.2">
      <c r="A12" t="s">
        <v>815</v>
      </c>
      <c r="B12" s="240">
        <f>26629.35+26639.35+26637.3+76525+2400+40809.6+102835.2+15929.75+41475.2</f>
        <v>359880.75</v>
      </c>
      <c r="C12" s="240">
        <f>+C9-C10-C11</f>
        <v>131152.13240489943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6931937.0799999991</v>
      </c>
      <c r="C13" s="231">
        <f>SUM(C10:C12)</f>
        <v>2526221.06</v>
      </c>
    </row>
    <row r="14" spans="1:3" x14ac:dyDescent="0.2">
      <c r="B14" s="230"/>
      <c r="C14" s="230"/>
    </row>
    <row r="15" spans="1:3" x14ac:dyDescent="0.2">
      <c r="B15" s="275" t="s">
        <v>817</v>
      </c>
      <c r="C15" s="275"/>
    </row>
    <row r="16" spans="1:3" x14ac:dyDescent="0.2">
      <c r="A16" s="239" t="s">
        <v>821</v>
      </c>
      <c r="B16" s="273" t="s">
        <v>738</v>
      </c>
      <c r="C16" s="274"/>
    </row>
    <row r="17" spans="1:3" x14ac:dyDescent="0.2">
      <c r="B17" s="228" t="s">
        <v>54</v>
      </c>
      <c r="C17" s="228" t="s">
        <v>810</v>
      </c>
    </row>
    <row r="18" spans="1:3" x14ac:dyDescent="0.2">
      <c r="A18" s="33" t="s">
        <v>811</v>
      </c>
      <c r="B18" s="229">
        <f>'DOE25'!F190+'DOE25'!F208+'DOE25'!F226+'DOE25'!F269+'DOE25'!F288+'DOE25'!F307</f>
        <v>2314116.7999999998</v>
      </c>
      <c r="C18" s="229">
        <f>'DOE25'!G190+'DOE25'!G208+'DOE25'!G226+'DOE25'!G269+'DOE25'!G288+'DOE25'!G307</f>
        <v>1231764.4499999997</v>
      </c>
    </row>
    <row r="19" spans="1:3" x14ac:dyDescent="0.2">
      <c r="A19" t="s">
        <v>813</v>
      </c>
      <c r="B19" s="240">
        <f>158535+103182+169089+250269+4790.89+5714.89+5478.37+6960+1040+60508.55+105345+45606+77773+151957.5+79928+6700+56443+49665+22369.59+60819+1500+7398.94+2397.5+1620+7533.03+90789.7</f>
        <v>1533412.9600000002</v>
      </c>
      <c r="C19" s="240">
        <f>(+B19/B22)*C18</f>
        <v>816209.26450094115</v>
      </c>
    </row>
    <row r="20" spans="1:3" x14ac:dyDescent="0.2">
      <c r="A20" t="s">
        <v>814</v>
      </c>
      <c r="B20" s="240">
        <v>776003.84</v>
      </c>
      <c r="C20" s="240">
        <f>+C18-C21-C19</f>
        <v>415195.63549905852</v>
      </c>
    </row>
    <row r="21" spans="1:3" x14ac:dyDescent="0.2">
      <c r="A21" t="s">
        <v>815</v>
      </c>
      <c r="B21" s="240">
        <v>4700</v>
      </c>
      <c r="C21" s="240">
        <f>+B21*0.0765</f>
        <v>359.55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2314116.8000000003</v>
      </c>
      <c r="C22" s="231">
        <f>SUM(C19:C21)</f>
        <v>1231764.4499999997</v>
      </c>
    </row>
    <row r="23" spans="1:3" x14ac:dyDescent="0.2">
      <c r="B23" s="230"/>
      <c r="C23" s="230"/>
    </row>
    <row r="24" spans="1:3" x14ac:dyDescent="0.2">
      <c r="B24" s="275" t="s">
        <v>817</v>
      </c>
      <c r="C24" s="275"/>
    </row>
    <row r="25" spans="1:3" x14ac:dyDescent="0.2">
      <c r="A25" s="239" t="s">
        <v>822</v>
      </c>
      <c r="B25" s="273" t="s">
        <v>739</v>
      </c>
      <c r="C25" s="274"/>
    </row>
    <row r="26" spans="1:3" x14ac:dyDescent="0.2">
      <c r="B26" s="228" t="s">
        <v>54</v>
      </c>
      <c r="C26" s="228" t="s">
        <v>810</v>
      </c>
    </row>
    <row r="27" spans="1:3" x14ac:dyDescent="0.2">
      <c r="A27" s="33" t="s">
        <v>811</v>
      </c>
      <c r="B27" s="234">
        <f>'DOE25'!F191+'DOE25'!F209+'DOE25'!F227+'DOE25'!F270+'DOE25'!F289+'DOE25'!F308</f>
        <v>0</v>
      </c>
      <c r="C27" s="234">
        <f>'DOE25'!G191+'DOE25'!G209+'DOE25'!G227+'DOE25'!G270+'DOE25'!G289+'DOE25'!G308</f>
        <v>0</v>
      </c>
    </row>
    <row r="28" spans="1:3" x14ac:dyDescent="0.2">
      <c r="A28" t="s">
        <v>813</v>
      </c>
      <c r="B28" s="240"/>
      <c r="C28" s="240"/>
    </row>
    <row r="29" spans="1:3" x14ac:dyDescent="0.2">
      <c r="A29" t="s">
        <v>814</v>
      </c>
      <c r="B29" s="240"/>
      <c r="C29" s="240"/>
    </row>
    <row r="30" spans="1:3" x14ac:dyDescent="0.2">
      <c r="A30" t="s">
        <v>815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5" t="s">
        <v>817</v>
      </c>
      <c r="C33" s="275"/>
    </row>
    <row r="34" spans="1:3" x14ac:dyDescent="0.2">
      <c r="A34" s="239" t="s">
        <v>823</v>
      </c>
      <c r="B34" s="273" t="s">
        <v>740</v>
      </c>
      <c r="C34" s="274"/>
    </row>
    <row r="35" spans="1:3" x14ac:dyDescent="0.2">
      <c r="B35" s="228" t="s">
        <v>54</v>
      </c>
      <c r="C35" s="228" t="s">
        <v>810</v>
      </c>
    </row>
    <row r="36" spans="1:3" x14ac:dyDescent="0.2">
      <c r="A36" s="33" t="s">
        <v>811</v>
      </c>
      <c r="B36" s="235">
        <f>'DOE25'!F192+'DOE25'!F210+'DOE25'!F228+'DOE25'!F271+'DOE25'!F290+'DOE25'!F309</f>
        <v>250309</v>
      </c>
      <c r="C36" s="235">
        <f>'DOE25'!G192+'DOE25'!G210+'DOE25'!G228+'DOE25'!G271+'DOE25'!G290+'DOE25'!G309</f>
        <v>51555.460000000006</v>
      </c>
    </row>
    <row r="37" spans="1:3" x14ac:dyDescent="0.2">
      <c r="A37" t="s">
        <v>813</v>
      </c>
      <c r="B37" s="240">
        <f>6352+6352+10875+21705+68813+34175+100837+1200</f>
        <v>250309</v>
      </c>
      <c r="C37" s="240">
        <f>+C36</f>
        <v>51555.460000000006</v>
      </c>
    </row>
    <row r="38" spans="1:3" x14ac:dyDescent="0.2">
      <c r="A38" t="s">
        <v>814</v>
      </c>
      <c r="B38" s="240"/>
      <c r="C38" s="240"/>
    </row>
    <row r="39" spans="1:3" x14ac:dyDescent="0.2">
      <c r="A39" t="s">
        <v>815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250309</v>
      </c>
      <c r="C40" s="231">
        <f>SUM(C37:C39)</f>
        <v>51555.460000000006</v>
      </c>
    </row>
    <row r="41" spans="1:3" x14ac:dyDescent="0.2">
      <c r="B41" s="230"/>
      <c r="C41" s="230"/>
    </row>
    <row r="42" spans="1:3" x14ac:dyDescent="0.2">
      <c r="A42" s="33" t="s">
        <v>871</v>
      </c>
      <c r="B42" s="230"/>
      <c r="C42" s="230"/>
    </row>
    <row r="43" spans="1:3" x14ac:dyDescent="0.2">
      <c r="A43" t="s">
        <v>875</v>
      </c>
      <c r="B43" s="230"/>
      <c r="C43" s="230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4" t="s">
        <v>812</v>
      </c>
    </row>
    <row r="49" spans="1:1" x14ac:dyDescent="0.2">
      <c r="A49" s="268" t="s">
        <v>878</v>
      </c>
    </row>
    <row r="50" spans="1:1" x14ac:dyDescent="0.2">
      <c r="A50" s="268" t="s">
        <v>872</v>
      </c>
    </row>
    <row r="51" spans="1:1" x14ac:dyDescent="0.2">
      <c r="A51" s="268" t="s">
        <v>879</v>
      </c>
    </row>
    <row r="52" spans="1:1" x14ac:dyDescent="0.2">
      <c r="A52" s="269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C126-EC72-49DA-815E-A73C99E59DEE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824</v>
      </c>
      <c r="B1" s="280"/>
      <c r="C1" s="280"/>
      <c r="D1" s="280"/>
      <c r="E1" s="280"/>
      <c r="F1" s="280"/>
      <c r="G1" s="280"/>
      <c r="H1" s="280"/>
      <c r="I1" s="180"/>
    </row>
    <row r="2" spans="1:9" x14ac:dyDescent="0.2">
      <c r="A2" s="33" t="s">
        <v>748</v>
      </c>
      <c r="B2" s="265" t="str">
        <f>'DOE25'!A2</f>
        <v>Sanborn Regional School District</v>
      </c>
      <c r="C2" s="180"/>
      <c r="D2" s="180" t="s">
        <v>826</v>
      </c>
      <c r="E2" s="180" t="s">
        <v>828</v>
      </c>
      <c r="F2" s="277" t="s">
        <v>855</v>
      </c>
      <c r="G2" s="278"/>
      <c r="H2" s="279"/>
      <c r="I2" s="180"/>
    </row>
    <row r="3" spans="1:9" x14ac:dyDescent="0.2">
      <c r="A3" s="180" t="s">
        <v>94</v>
      </c>
      <c r="B3" s="228" t="s">
        <v>10</v>
      </c>
      <c r="C3" s="180" t="s">
        <v>5</v>
      </c>
      <c r="D3" s="180" t="s">
        <v>827</v>
      </c>
      <c r="E3" s="180" t="s">
        <v>829</v>
      </c>
      <c r="F3" s="241" t="s">
        <v>869</v>
      </c>
      <c r="G3" s="217" t="s">
        <v>59</v>
      </c>
      <c r="H3" s="242" t="s">
        <v>832</v>
      </c>
    </row>
    <row r="4" spans="1:9" x14ac:dyDescent="0.2">
      <c r="A4" s="251" t="s">
        <v>834</v>
      </c>
      <c r="B4" s="251" t="s">
        <v>850</v>
      </c>
      <c r="C4" s="251" t="s">
        <v>825</v>
      </c>
      <c r="D4" s="251" t="s">
        <v>851</v>
      </c>
      <c r="E4" s="251" t="s">
        <v>851</v>
      </c>
      <c r="F4" s="250" t="s">
        <v>831</v>
      </c>
      <c r="G4" s="251" t="s">
        <v>845</v>
      </c>
      <c r="H4" s="252" t="s">
        <v>833</v>
      </c>
    </row>
    <row r="5" spans="1:9" x14ac:dyDescent="0.2">
      <c r="A5" s="32">
        <v>1000</v>
      </c>
      <c r="B5" t="s">
        <v>218</v>
      </c>
      <c r="C5" s="245">
        <f t="shared" ref="C5:C19" si="0">SUM(D5:H5)</f>
        <v>15621011.059999999</v>
      </c>
      <c r="D5" s="20">
        <f>SUM('DOE25'!L189:L192)+SUM('DOE25'!L207:L210)+SUM('DOE25'!L225:L228)-F5-G5</f>
        <v>15290795.389999999</v>
      </c>
      <c r="E5" s="243"/>
      <c r="F5" s="255">
        <f>SUM('DOE25'!J189:J192)+SUM('DOE25'!J207:J210)+SUM('DOE25'!J225:J228)</f>
        <v>297721.67</v>
      </c>
      <c r="G5" s="53">
        <f>SUM('DOE25'!K189:K192)+SUM('DOE25'!K207:K210)+SUM('DOE25'!K225:K228)</f>
        <v>32494</v>
      </c>
      <c r="H5" s="259"/>
    </row>
    <row r="6" spans="1:9" x14ac:dyDescent="0.2">
      <c r="A6" s="32">
        <v>2100</v>
      </c>
      <c r="B6" t="s">
        <v>835</v>
      </c>
      <c r="C6" s="245">
        <f t="shared" si="0"/>
        <v>1663600.3</v>
      </c>
      <c r="D6" s="20">
        <f>'DOE25'!L194+'DOE25'!L212+'DOE25'!L230-F6-G6</f>
        <v>1661799.9200000002</v>
      </c>
      <c r="E6" s="243"/>
      <c r="F6" s="255">
        <f>'DOE25'!J194+'DOE25'!J212+'DOE25'!J230</f>
        <v>1050.3800000000001</v>
      </c>
      <c r="G6" s="53">
        <f>'DOE25'!K194+'DOE25'!K212+'DOE25'!K230</f>
        <v>750</v>
      </c>
      <c r="H6" s="259"/>
    </row>
    <row r="7" spans="1:9" x14ac:dyDescent="0.2">
      <c r="A7" s="32">
        <v>2200</v>
      </c>
      <c r="B7" t="s">
        <v>868</v>
      </c>
      <c r="C7" s="245">
        <f t="shared" si="0"/>
        <v>493697.47000000003</v>
      </c>
      <c r="D7" s="20">
        <f>'DOE25'!L195+'DOE25'!L213+'DOE25'!L231-F7-G7</f>
        <v>485999.59000000008</v>
      </c>
      <c r="E7" s="243"/>
      <c r="F7" s="255">
        <f>'DOE25'!J195+'DOE25'!J213+'DOE25'!J231</f>
        <v>4447.66</v>
      </c>
      <c r="G7" s="53">
        <f>'DOE25'!K195+'DOE25'!K213+'DOE25'!K231</f>
        <v>3250.2200000000003</v>
      </c>
      <c r="H7" s="259"/>
    </row>
    <row r="8" spans="1:9" x14ac:dyDescent="0.2">
      <c r="A8" s="32">
        <v>2300</v>
      </c>
      <c r="B8" t="s">
        <v>836</v>
      </c>
      <c r="C8" s="245">
        <f t="shared" si="0"/>
        <v>256106.45999999993</v>
      </c>
      <c r="D8" s="243"/>
      <c r="E8" s="20">
        <f>'DOE25'!L196+'DOE25'!L214+'DOE25'!L232-F8-G8-D9-D11</f>
        <v>230532.42999999993</v>
      </c>
      <c r="F8" s="255">
        <f>'DOE25'!J196+'DOE25'!J214+'DOE25'!J232</f>
        <v>0</v>
      </c>
      <c r="G8" s="53">
        <f>'DOE25'!K196+'DOE25'!K214+'DOE25'!K232</f>
        <v>25574.03</v>
      </c>
      <c r="H8" s="259"/>
    </row>
    <row r="9" spans="1:9" x14ac:dyDescent="0.2">
      <c r="A9" s="32">
        <v>2310</v>
      </c>
      <c r="B9" t="s">
        <v>852</v>
      </c>
      <c r="C9" s="245">
        <f t="shared" si="0"/>
        <v>76330</v>
      </c>
      <c r="D9" s="244">
        <f>31527+2543+5051+8663+28514+32</f>
        <v>76330</v>
      </c>
      <c r="E9" s="243"/>
      <c r="F9" s="258"/>
      <c r="G9" s="256"/>
      <c r="H9" s="259"/>
    </row>
    <row r="10" spans="1:9" x14ac:dyDescent="0.2">
      <c r="A10" s="32">
        <v>2317</v>
      </c>
      <c r="B10" t="s">
        <v>853</v>
      </c>
      <c r="C10" s="245">
        <f t="shared" si="0"/>
        <v>28514</v>
      </c>
      <c r="D10" s="243"/>
      <c r="E10" s="244">
        <v>28514</v>
      </c>
      <c r="F10" s="258"/>
      <c r="G10" s="256"/>
      <c r="H10" s="259"/>
    </row>
    <row r="11" spans="1:9" x14ac:dyDescent="0.2">
      <c r="A11" s="32">
        <v>2321</v>
      </c>
      <c r="B11" t="s">
        <v>865</v>
      </c>
      <c r="C11" s="245">
        <f t="shared" si="0"/>
        <v>287791</v>
      </c>
      <c r="D11" s="244">
        <v>287791</v>
      </c>
      <c r="E11" s="243"/>
      <c r="F11" s="258"/>
      <c r="G11" s="256"/>
      <c r="H11" s="259"/>
    </row>
    <row r="12" spans="1:9" x14ac:dyDescent="0.2">
      <c r="A12" s="32">
        <v>2400</v>
      </c>
      <c r="B12" t="s">
        <v>746</v>
      </c>
      <c r="C12" s="245">
        <f t="shared" si="0"/>
        <v>1555613.04</v>
      </c>
      <c r="D12" s="20">
        <f>'DOE25'!L197+'DOE25'!L215+'DOE25'!L233-F12-G12</f>
        <v>1531288.24</v>
      </c>
      <c r="E12" s="243"/>
      <c r="F12" s="255">
        <f>'DOE25'!J197+'DOE25'!J215+'DOE25'!J233</f>
        <v>0</v>
      </c>
      <c r="G12" s="53">
        <f>'DOE25'!K197+'DOE25'!K215+'DOE25'!K233</f>
        <v>24324.799999999999</v>
      </c>
      <c r="H12" s="259"/>
    </row>
    <row r="13" spans="1:9" x14ac:dyDescent="0.2">
      <c r="A13" s="32">
        <v>2500</v>
      </c>
      <c r="B13" t="s">
        <v>837</v>
      </c>
      <c r="C13" s="245">
        <f t="shared" si="0"/>
        <v>359953.95999999996</v>
      </c>
      <c r="D13" s="243"/>
      <c r="E13" s="20">
        <f>'DOE25'!L198+'DOE25'!L216+'DOE25'!L234-F13-G13</f>
        <v>358230.95999999996</v>
      </c>
      <c r="F13" s="255">
        <f>'DOE25'!J198+'DOE25'!J216+'DOE25'!J234</f>
        <v>1308</v>
      </c>
      <c r="G13" s="53">
        <f>'DOE25'!K198+'DOE25'!K216+'DOE25'!K234</f>
        <v>415</v>
      </c>
      <c r="H13" s="259"/>
    </row>
    <row r="14" spans="1:9" x14ac:dyDescent="0.2">
      <c r="A14" s="32">
        <v>2600</v>
      </c>
      <c r="B14" t="s">
        <v>866</v>
      </c>
      <c r="C14" s="245">
        <f t="shared" si="0"/>
        <v>3216277.14</v>
      </c>
      <c r="D14" s="20">
        <f>'DOE25'!L199+'DOE25'!L217+'DOE25'!L235-F14-G14</f>
        <v>3138530.98</v>
      </c>
      <c r="E14" s="243"/>
      <c r="F14" s="255">
        <f>'DOE25'!J199+'DOE25'!J217+'DOE25'!J235</f>
        <v>72077.959999999992</v>
      </c>
      <c r="G14" s="53">
        <f>'DOE25'!K199+'DOE25'!K217+'DOE25'!K235</f>
        <v>5668.2</v>
      </c>
      <c r="H14" s="259"/>
    </row>
    <row r="15" spans="1:9" x14ac:dyDescent="0.2">
      <c r="A15" s="32">
        <v>2700</v>
      </c>
      <c r="B15" t="s">
        <v>838</v>
      </c>
      <c r="C15" s="245">
        <f t="shared" si="0"/>
        <v>1024301.81</v>
      </c>
      <c r="D15" s="20">
        <f>'DOE25'!L200+'DOE25'!L218+'DOE25'!L236-F15-G15</f>
        <v>1024301.81</v>
      </c>
      <c r="E15" s="243"/>
      <c r="F15" s="255">
        <f>'DOE25'!J200+'DOE25'!J218+'DOE25'!J236</f>
        <v>0</v>
      </c>
      <c r="G15" s="53">
        <f>'DOE25'!K200+'DOE25'!K218+'DOE25'!K236</f>
        <v>0</v>
      </c>
      <c r="H15" s="259"/>
    </row>
    <row r="16" spans="1:9" x14ac:dyDescent="0.2">
      <c r="A16" s="32">
        <v>2800</v>
      </c>
      <c r="B16" t="s">
        <v>839</v>
      </c>
      <c r="C16" s="245">
        <f t="shared" si="0"/>
        <v>609103.87</v>
      </c>
      <c r="D16" s="243"/>
      <c r="E16" s="20">
        <f>'DOE25'!L201+'DOE25'!L219+'DOE25'!L237-F16-G16</f>
        <v>609103.87</v>
      </c>
      <c r="F16" s="255">
        <f>'DOE25'!J201+'DOE25'!J219+'DOE25'!J237</f>
        <v>0</v>
      </c>
      <c r="G16" s="53">
        <f>'DOE25'!K201+'DOE25'!K219+'DOE25'!K237</f>
        <v>0</v>
      </c>
      <c r="H16" s="259"/>
    </row>
    <row r="17" spans="1:8" x14ac:dyDescent="0.2">
      <c r="A17" s="32">
        <v>1600</v>
      </c>
      <c r="B17" t="s">
        <v>840</v>
      </c>
      <c r="C17" s="245">
        <f t="shared" si="0"/>
        <v>0</v>
      </c>
      <c r="D17" s="20">
        <f>'DOE25'!L243-F17-G17</f>
        <v>0</v>
      </c>
      <c r="E17" s="243"/>
      <c r="F17" s="255">
        <f>'DOE25'!J243</f>
        <v>0</v>
      </c>
      <c r="G17" s="53">
        <f>'DOE25'!K243</f>
        <v>0</v>
      </c>
      <c r="H17" s="259"/>
    </row>
    <row r="18" spans="1:8" x14ac:dyDescent="0.2">
      <c r="A18" s="32">
        <v>1700</v>
      </c>
      <c r="B18" t="s">
        <v>841</v>
      </c>
      <c r="C18" s="245">
        <f t="shared" si="0"/>
        <v>0</v>
      </c>
      <c r="D18" s="20">
        <f>'DOE25'!L244-F18-G18</f>
        <v>0</v>
      </c>
      <c r="E18" s="243"/>
      <c r="F18" s="255">
        <f>'DOE25'!J244</f>
        <v>0</v>
      </c>
      <c r="G18" s="53">
        <f>'DOE25'!K244</f>
        <v>0</v>
      </c>
      <c r="H18" s="259"/>
    </row>
    <row r="19" spans="1:8" x14ac:dyDescent="0.2">
      <c r="A19" s="32">
        <v>1800</v>
      </c>
      <c r="B19" t="s">
        <v>842</v>
      </c>
      <c r="C19" s="245">
        <f t="shared" si="0"/>
        <v>22623.53</v>
      </c>
      <c r="D19" s="20">
        <f>'DOE25'!L245-F19-G19</f>
        <v>20123.53</v>
      </c>
      <c r="E19" s="243"/>
      <c r="F19" s="255">
        <f>'DOE25'!J245</f>
        <v>0</v>
      </c>
      <c r="G19" s="53">
        <f>'DOE25'!K245</f>
        <v>2500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830</v>
      </c>
      <c r="F21" s="260"/>
      <c r="G21" s="52"/>
      <c r="H21" s="261"/>
    </row>
    <row r="22" spans="1:8" x14ac:dyDescent="0.2">
      <c r="A22" s="32">
        <v>4000</v>
      </c>
      <c r="B22" t="s">
        <v>867</v>
      </c>
      <c r="C22" s="245">
        <f>SUM(D22:H22)</f>
        <v>103275.99</v>
      </c>
      <c r="D22" s="243"/>
      <c r="E22" s="243"/>
      <c r="F22" s="255">
        <f>'DOE25'!L247+'DOE25'!L328</f>
        <v>103275.99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487</v>
      </c>
      <c r="F24" s="260"/>
      <c r="G24" s="52"/>
      <c r="H24" s="261"/>
    </row>
    <row r="25" spans="1:8" x14ac:dyDescent="0.2">
      <c r="A25" s="32" t="s">
        <v>843</v>
      </c>
      <c r="B25" t="s">
        <v>844</v>
      </c>
      <c r="C25" s="245">
        <f>SUM(D25:H25)</f>
        <v>2343962.5</v>
      </c>
      <c r="D25" s="243"/>
      <c r="E25" s="243"/>
      <c r="F25" s="258"/>
      <c r="G25" s="256"/>
      <c r="H25" s="257">
        <f>'DOE25'!L252+'DOE25'!L253+'DOE25'!L333+'DOE25'!L334</f>
        <v>2343962.5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846</v>
      </c>
      <c r="F27" s="260"/>
      <c r="G27" s="52"/>
      <c r="H27" s="261"/>
    </row>
    <row r="28" spans="1:8" x14ac:dyDescent="0.2">
      <c r="A28" s="32">
        <v>3100</v>
      </c>
      <c r="B28" t="s">
        <v>859</v>
      </c>
      <c r="F28" s="260"/>
      <c r="G28" s="52"/>
      <c r="H28" s="261"/>
    </row>
    <row r="29" spans="1:8" x14ac:dyDescent="0.2">
      <c r="A29" s="32"/>
      <c r="B29" t="s">
        <v>847</v>
      </c>
      <c r="C29" s="245">
        <f>SUM(D29:H29)</f>
        <v>618310.01</v>
      </c>
      <c r="D29" s="20">
        <f>'DOE25'!L350+'DOE25'!L351+'DOE25'!L352-'DOE25'!I359-F29-G29</f>
        <v>603613.98</v>
      </c>
      <c r="E29" s="243"/>
      <c r="F29" s="255">
        <f>'DOE25'!J350+'DOE25'!J351+'DOE25'!J352</f>
        <v>14606.28</v>
      </c>
      <c r="G29" s="53">
        <f>'DOE25'!K350+'DOE25'!K351+'DOE25'!K352</f>
        <v>89.75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861</v>
      </c>
      <c r="B31" t="s">
        <v>860</v>
      </c>
      <c r="C31" s="245">
        <f>SUM(D31:H31)</f>
        <v>936045.94</v>
      </c>
      <c r="D31" s="20">
        <f>'DOE25'!L282+'DOE25'!L301+'DOE25'!L320+'DOE25'!L325+'DOE25'!L326+'DOE25'!L327-F31-G31</f>
        <v>916129.65999999992</v>
      </c>
      <c r="E31" s="243"/>
      <c r="F31" s="255">
        <f>'DOE25'!J282+'DOE25'!J301+'DOE25'!J320+'DOE25'!J325+'DOE25'!J326+'DOE25'!J327</f>
        <v>19916.28</v>
      </c>
      <c r="G31" s="53">
        <f>'DOE25'!K282+'DOE25'!K301+'DOE25'!K320+'DOE25'!K325+'DOE25'!K326+'DOE25'!K327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848</v>
      </c>
      <c r="D33" s="246">
        <f>SUM(D5:D31)</f>
        <v>25036704.099999998</v>
      </c>
      <c r="E33" s="246">
        <f>SUM(E5:E31)</f>
        <v>1226381.2599999998</v>
      </c>
      <c r="F33" s="246">
        <f>SUM(F5:F31)</f>
        <v>514404.22</v>
      </c>
      <c r="G33" s="246">
        <f>SUM(G5:G31)</f>
        <v>95066</v>
      </c>
      <c r="H33" s="246">
        <f>SUM(H5:H31)</f>
        <v>2343962.5</v>
      </c>
    </row>
    <row r="35" spans="2:8" ht="12" thickBot="1" x14ac:dyDescent="0.25">
      <c r="B35" s="253" t="s">
        <v>881</v>
      </c>
      <c r="D35" s="254">
        <f>E33</f>
        <v>1226381.2599999998</v>
      </c>
      <c r="E35" s="249"/>
    </row>
    <row r="36" spans="2:8" ht="12" thickTop="1" x14ac:dyDescent="0.2">
      <c r="B36" t="s">
        <v>849</v>
      </c>
      <c r="D36" s="20">
        <f>D33</f>
        <v>25036704.099999998</v>
      </c>
    </row>
    <row r="38" spans="2:8" x14ac:dyDescent="0.2">
      <c r="B38" s="186" t="s">
        <v>889</v>
      </c>
      <c r="C38" s="266"/>
      <c r="D38" s="267"/>
    </row>
    <row r="39" spans="2:8" x14ac:dyDescent="0.2">
      <c r="B39" t="s">
        <v>858</v>
      </c>
      <c r="D39" s="180" t="str">
        <f>IF(E10&gt;0,"Y","N")</f>
        <v>Y</v>
      </c>
    </row>
    <row r="41" spans="2:8" x14ac:dyDescent="0.2">
      <c r="B41" s="264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9C44-84B2-4447-95A8-BF13F87D6439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Sanborn Regional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503388.89</v>
      </c>
      <c r="D9" s="95">
        <f>'DOE25'!G9</f>
        <v>7887.76</v>
      </c>
      <c r="E9" s="95">
        <f>'DOE25'!H9</f>
        <v>139150.1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277688.33999999997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188634.98</v>
      </c>
      <c r="D12" s="95">
        <f>'DOE25'!G12</f>
        <v>30293.87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10407.629999999999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972476.78</v>
      </c>
      <c r="D14" s="95">
        <f>'DOE25'!G14</f>
        <v>11489.87</v>
      </c>
      <c r="E14" s="95">
        <f>'DOE25'!H14</f>
        <v>200228.9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2125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1666625.65</v>
      </c>
      <c r="D19" s="41">
        <f>SUM(D9:D18)</f>
        <v>60079.13</v>
      </c>
      <c r="E19" s="41">
        <f>SUM(E9:E18)</f>
        <v>339379</v>
      </c>
      <c r="F19" s="41">
        <f>SUM(F9:F18)</f>
        <v>0</v>
      </c>
      <c r="G19" s="41">
        <f>SUM(G9:G18)</f>
        <v>277688.33999999997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30293.87</v>
      </c>
      <c r="D22" s="95">
        <f>'DOE25'!G23</f>
        <v>0</v>
      </c>
      <c r="E22" s="95">
        <f>'DOE25'!H23</f>
        <v>188634.98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432234.57</v>
      </c>
      <c r="D24" s="95">
        <f>'DOE25'!G25</f>
        <v>2906.65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9990.68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25397.3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4012.12</v>
      </c>
      <c r="E30" s="95">
        <f>'DOE25'!H31</f>
        <v>3659.86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497916.42</v>
      </c>
      <c r="D32" s="41">
        <f>SUM(D22:D31)</f>
        <v>6918.77</v>
      </c>
      <c r="E32" s="41">
        <f>SUM(E22:E31)</f>
        <v>192294.84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2125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669732.25</v>
      </c>
      <c r="D36" s="95">
        <f>'DOE25'!G37</f>
        <v>5690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47470.36</v>
      </c>
      <c r="E40" s="95">
        <f>'DOE25'!H41</f>
        <v>147084.16</v>
      </c>
      <c r="F40" s="95">
        <f>'DOE25'!I41</f>
        <v>0</v>
      </c>
      <c r="G40" s="95">
        <f>'DOE25'!J41</f>
        <v>277688.33999999997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496851.98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1168709.23</v>
      </c>
      <c r="D42" s="41">
        <f>SUM(D34:D41)</f>
        <v>53160.36</v>
      </c>
      <c r="E42" s="41">
        <f>SUM(E34:E41)</f>
        <v>147084.16</v>
      </c>
      <c r="F42" s="41">
        <f>SUM(F34:F41)</f>
        <v>0</v>
      </c>
      <c r="G42" s="41">
        <f>SUM(G34:G41)</f>
        <v>277688.33999999997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1666625.65</v>
      </c>
      <c r="D43" s="41">
        <f>D42+D32</f>
        <v>60079.130000000005</v>
      </c>
      <c r="E43" s="41">
        <f>E42+E32</f>
        <v>339379</v>
      </c>
      <c r="F43" s="41">
        <f>F42+F32</f>
        <v>0</v>
      </c>
      <c r="G43" s="41">
        <f>G42+G32</f>
        <v>277688.33999999997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16973914.579999998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3082907.02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8693.1</v>
      </c>
      <c r="D51" s="95">
        <f>'DOE25'!G88</f>
        <v>68.86</v>
      </c>
      <c r="E51" s="95">
        <f>'DOE25'!H88</f>
        <v>232.59</v>
      </c>
      <c r="F51" s="95">
        <f>'DOE25'!I88</f>
        <v>0</v>
      </c>
      <c r="G51" s="95">
        <f>'DOE25'!J88</f>
        <v>2658.16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442280.13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39852.74</v>
      </c>
      <c r="D53" s="95">
        <f>SUM('DOE25'!G90:G102)</f>
        <v>11489.87</v>
      </c>
      <c r="E53" s="95">
        <f>SUM('DOE25'!H90:H102)</f>
        <v>80396.63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3131452.8600000003</v>
      </c>
      <c r="D54" s="130">
        <f>SUM(D49:D53)</f>
        <v>453838.86</v>
      </c>
      <c r="E54" s="130">
        <f>SUM(E49:E53)</f>
        <v>80629.22</v>
      </c>
      <c r="F54" s="130">
        <f>SUM(F49:F53)</f>
        <v>0</v>
      </c>
      <c r="G54" s="130">
        <f>SUM(G49:G53)</f>
        <v>2658.16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20105367.439999998</v>
      </c>
      <c r="D55" s="22">
        <f>D48+D54</f>
        <v>453838.86</v>
      </c>
      <c r="E55" s="22">
        <f>E48+E54</f>
        <v>80629.22</v>
      </c>
      <c r="F55" s="22">
        <f>F48+F54</f>
        <v>0</v>
      </c>
      <c r="G55" s="22">
        <f>G48+G54</f>
        <v>2658.16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2639323.59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2643690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1012626.41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6295640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915207.83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345361.84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27340.77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17700</v>
      </c>
      <c r="D69" s="95">
        <f>SUM('DOE25'!G123:G127)</f>
        <v>7173.98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1305610.44</v>
      </c>
      <c r="D70" s="130">
        <f>SUM(D64:D69)</f>
        <v>7173.98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7601250.4399999995</v>
      </c>
      <c r="D73" s="130">
        <f>SUM(D71:D72)+D70+D62</f>
        <v>7173.98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16075.52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149619.01</v>
      </c>
      <c r="D80" s="95">
        <f>SUM('DOE25'!G145:G153)</f>
        <v>131231.42000000001</v>
      </c>
      <c r="E80" s="95">
        <f>SUM('DOE25'!H145:H153)</f>
        <v>887973.04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165694.53</v>
      </c>
      <c r="D83" s="131">
        <f>SUM(D77:D82)</f>
        <v>131231.42000000001</v>
      </c>
      <c r="E83" s="131">
        <f>SUM(E77:E82)</f>
        <v>887973.04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15024.42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15024.42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27872312.409999996</v>
      </c>
      <c r="D96" s="86">
        <f>D55+D73+D83+D95</f>
        <v>607268.68000000005</v>
      </c>
      <c r="E96" s="86">
        <f>E55+E73+E83+E95</f>
        <v>968602.26</v>
      </c>
      <c r="F96" s="86">
        <f>F55+F73+F83+F95</f>
        <v>0</v>
      </c>
      <c r="G96" s="86">
        <f>G55+G73+G95</f>
        <v>2658.16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10424611.199999999</v>
      </c>
      <c r="D101" s="24" t="s">
        <v>312</v>
      </c>
      <c r="E101" s="95">
        <f>('DOE25'!L268)+('DOE25'!L287)+('DOE25'!L306)</f>
        <v>336503.72000000003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4573021.7</v>
      </c>
      <c r="D102" s="24" t="s">
        <v>312</v>
      </c>
      <c r="E102" s="95">
        <f>('DOE25'!L269)+('DOE25'!L288)+('DOE25'!L307)</f>
        <v>412832.82999999996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202992.4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420385.76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22623.53</v>
      </c>
      <c r="D106" s="24" t="s">
        <v>312</v>
      </c>
      <c r="E106" s="95">
        <f>+ SUM('DOE25'!L325:L327)</f>
        <v>497.5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15643634.589999998</v>
      </c>
      <c r="D107" s="86">
        <f>SUM(D101:D106)</f>
        <v>0</v>
      </c>
      <c r="E107" s="86">
        <f>SUM(E101:E106)</f>
        <v>749834.05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1663600.3</v>
      </c>
      <c r="D110" s="24" t="s">
        <v>312</v>
      </c>
      <c r="E110" s="95">
        <f>+('DOE25'!L273)+('DOE25'!L292)+('DOE25'!L311)</f>
        <v>180361.89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493697.47000000003</v>
      </c>
      <c r="D111" s="24" t="s">
        <v>312</v>
      </c>
      <c r="E111" s="95">
        <f>+('DOE25'!L274)+('DOE25'!L293)+('DOE25'!L312)</f>
        <v>5850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620227.46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1555613.04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359953.95999999996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3216277.14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1024301.81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609103.87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618310.01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9542775.0499999989</v>
      </c>
      <c r="D120" s="86">
        <f>SUM(D110:D119)</f>
        <v>618310.01</v>
      </c>
      <c r="E120" s="86">
        <f>SUM(E110:E119)</f>
        <v>186211.89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103275.99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1835474.25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508488.25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15024.42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2658.16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-2658.16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2462262.91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27648672.549999997</v>
      </c>
      <c r="D137" s="86">
        <f>(D107+D120+D136)</f>
        <v>618310.01</v>
      </c>
      <c r="E137" s="86">
        <f>(E107+E120+E136)</f>
        <v>936045.94000000006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2/05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8/24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29770200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4.54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20696923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20696923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1835474.49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1835474.49</v>
      </c>
    </row>
    <row r="151" spans="1:7" x14ac:dyDescent="0.2">
      <c r="A151" s="22" t="s">
        <v>35</v>
      </c>
      <c r="B151" s="137">
        <f>'DOE25'!F488</f>
        <v>18861448.510000002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18861448.510000002</v>
      </c>
    </row>
    <row r="152" spans="1:7" x14ac:dyDescent="0.2">
      <c r="A152" s="22" t="s">
        <v>36</v>
      </c>
      <c r="B152" s="137">
        <f>'DOE25'!F489</f>
        <v>16314570.029999999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16314570.029999999</v>
      </c>
    </row>
    <row r="153" spans="1:7" x14ac:dyDescent="0.2">
      <c r="A153" s="22" t="s">
        <v>37</v>
      </c>
      <c r="B153" s="137">
        <f>'DOE25'!F490</f>
        <v>35176018.539999999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35176018.539999999</v>
      </c>
    </row>
    <row r="154" spans="1:7" x14ac:dyDescent="0.2">
      <c r="A154" s="22" t="s">
        <v>38</v>
      </c>
      <c r="B154" s="137">
        <f>'DOE25'!F491</f>
        <v>1747252.48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1747252.48</v>
      </c>
    </row>
    <row r="155" spans="1:7" x14ac:dyDescent="0.2">
      <c r="A155" s="22" t="s">
        <v>39</v>
      </c>
      <c r="B155" s="137">
        <f>'DOE25'!F492</f>
        <v>596085.02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596085.02</v>
      </c>
    </row>
    <row r="156" spans="1:7" x14ac:dyDescent="0.2">
      <c r="A156" s="22" t="s">
        <v>269</v>
      </c>
      <c r="B156" s="137">
        <f>'DOE25'!F493</f>
        <v>2343337.5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2343337.5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F6B5-71D2-46FC-AF55-D2D80F059BB7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772</v>
      </c>
      <c r="B1" s="281"/>
      <c r="C1" s="281"/>
      <c r="D1" s="281"/>
    </row>
    <row r="2" spans="1:4" x14ac:dyDescent="0.2">
      <c r="A2" s="186" t="s">
        <v>748</v>
      </c>
      <c r="B2" s="185" t="str">
        <f>'DOE25'!A2</f>
        <v>Sanborn Regional School District</v>
      </c>
    </row>
    <row r="3" spans="1:4" x14ac:dyDescent="0.2">
      <c r="B3" s="187" t="s">
        <v>890</v>
      </c>
    </row>
    <row r="4" spans="1:4" x14ac:dyDescent="0.2">
      <c r="B4" t="s">
        <v>61</v>
      </c>
      <c r="C4" s="178">
        <f>IF('DOE25'!F655+'DOE25'!F660=0,0,ROUND('DOE25'!F662,0))</f>
        <v>13747</v>
      </c>
    </row>
    <row r="5" spans="1:4" x14ac:dyDescent="0.2">
      <c r="B5" t="s">
        <v>735</v>
      </c>
      <c r="C5" s="178">
        <f>IF('DOE25'!G655+'DOE25'!G660=0,0,ROUND('DOE25'!G662,0))</f>
        <v>13576</v>
      </c>
    </row>
    <row r="6" spans="1:4" x14ac:dyDescent="0.2">
      <c r="B6" t="s">
        <v>62</v>
      </c>
      <c r="C6" s="178">
        <f>IF('DOE25'!H655+'DOE25'!H660=0,0,ROUND('DOE25'!H662,0))</f>
        <v>11881</v>
      </c>
    </row>
    <row r="7" spans="1:4" x14ac:dyDescent="0.2">
      <c r="B7" t="s">
        <v>736</v>
      </c>
      <c r="C7" s="178">
        <f>IF('DOE25'!I655+'DOE25'!I660=0,0,ROUND('DOE25'!I662,0))</f>
        <v>12985</v>
      </c>
    </row>
    <row r="9" spans="1:4" x14ac:dyDescent="0.2">
      <c r="A9" s="186" t="s">
        <v>94</v>
      </c>
      <c r="B9" s="187" t="s">
        <v>891</v>
      </c>
      <c r="C9" s="180" t="s">
        <v>755</v>
      </c>
      <c r="D9" s="180" t="s">
        <v>756</v>
      </c>
    </row>
    <row r="10" spans="1:4" x14ac:dyDescent="0.2">
      <c r="A10">
        <v>1100</v>
      </c>
      <c r="B10" t="s">
        <v>737</v>
      </c>
      <c r="C10" s="178">
        <f>ROUND('DOE25'!L189+'DOE25'!L207+'DOE25'!L225+'DOE25'!L268+'DOE25'!L287+'DOE25'!L306,0)</f>
        <v>10761115</v>
      </c>
      <c r="D10" s="181">
        <f>ROUND((C10/$C$28)*100,1)</f>
        <v>40.200000000000003</v>
      </c>
    </row>
    <row r="11" spans="1:4" x14ac:dyDescent="0.2">
      <c r="A11">
        <v>1200</v>
      </c>
      <c r="B11" t="s">
        <v>738</v>
      </c>
      <c r="C11" s="178">
        <f>ROUND('DOE25'!L190+'DOE25'!L208+'DOE25'!L226+'DOE25'!L269+'DOE25'!L288+'DOE25'!L307,0)</f>
        <v>4985855</v>
      </c>
      <c r="D11" s="181">
        <f>ROUND((C11/$C$28)*100,1)</f>
        <v>18.600000000000001</v>
      </c>
    </row>
    <row r="12" spans="1:4" x14ac:dyDescent="0.2">
      <c r="A12">
        <v>1300</v>
      </c>
      <c r="B12" t="s">
        <v>739</v>
      </c>
      <c r="C12" s="178">
        <f>ROUND('DOE25'!L191+'DOE25'!L209+'DOE25'!L227+'DOE25'!L270+'DOE25'!L289+'DOE25'!L308,0)</f>
        <v>202992</v>
      </c>
      <c r="D12" s="181">
        <f>ROUND((C12/$C$28)*100,1)</f>
        <v>0.8</v>
      </c>
    </row>
    <row r="13" spans="1:4" x14ac:dyDescent="0.2">
      <c r="A13">
        <v>1400</v>
      </c>
      <c r="B13" t="s">
        <v>740</v>
      </c>
      <c r="C13" s="178">
        <f>ROUND('DOE25'!L192+'DOE25'!L210+'DOE25'!L228+'DOE25'!L271+'DOE25'!L290+'DOE25'!L309,0)</f>
        <v>420386</v>
      </c>
      <c r="D13" s="181">
        <f>ROUND((C13/$C$28)*100,1)</f>
        <v>1.6</v>
      </c>
    </row>
    <row r="14" spans="1:4" x14ac:dyDescent="0.2">
      <c r="D14" s="181"/>
    </row>
    <row r="15" spans="1:4" x14ac:dyDescent="0.2">
      <c r="A15">
        <v>2100</v>
      </c>
      <c r="B15" t="s">
        <v>741</v>
      </c>
      <c r="C15" s="178">
        <f>ROUND('DOE25'!L194+'DOE25'!L212+'DOE25'!L230+'DOE25'!L273+'DOE25'!L292+'DOE25'!L311,0)</f>
        <v>1843962</v>
      </c>
      <c r="D15" s="181">
        <f t="shared" ref="D15:D27" si="0">ROUND((C15/$C$28)*100,1)</f>
        <v>6.9</v>
      </c>
    </row>
    <row r="16" spans="1:4" x14ac:dyDescent="0.2">
      <c r="A16">
        <v>2200</v>
      </c>
      <c r="B16" t="s">
        <v>742</v>
      </c>
      <c r="C16" s="178">
        <f>ROUND('DOE25'!L195+'DOE25'!L213+'DOE25'!L231+'DOE25'!L274+'DOE25'!L293+'DOE25'!L312,0)</f>
        <v>499547</v>
      </c>
      <c r="D16" s="181">
        <f t="shared" si="0"/>
        <v>1.9</v>
      </c>
    </row>
    <row r="17" spans="1:4" x14ac:dyDescent="0.2">
      <c r="A17" s="182" t="s">
        <v>758</v>
      </c>
      <c r="B17" t="s">
        <v>774</v>
      </c>
      <c r="C17" s="178">
        <f>ROUND('DOE25'!L196+'DOE25'!L201+'DOE25'!L214+'DOE25'!L219+'DOE25'!L232+'DOE25'!L237+'DOE25'!L275+'DOE25'!L280+'DOE25'!L294+'DOE25'!L299+'DOE25'!L313+'DOE25'!L318,0)</f>
        <v>1229331</v>
      </c>
      <c r="D17" s="181">
        <f t="shared" si="0"/>
        <v>4.5999999999999996</v>
      </c>
    </row>
    <row r="18" spans="1:4" x14ac:dyDescent="0.2">
      <c r="A18">
        <v>2400</v>
      </c>
      <c r="B18" t="s">
        <v>746</v>
      </c>
      <c r="C18" s="178">
        <f>ROUND('DOE25'!L197+'DOE25'!L215+'DOE25'!L233+'DOE25'!L276+'DOE25'!L295+'DOE25'!L314,0)</f>
        <v>1555613</v>
      </c>
      <c r="D18" s="181">
        <f t="shared" si="0"/>
        <v>5.8</v>
      </c>
    </row>
    <row r="19" spans="1:4" x14ac:dyDescent="0.2">
      <c r="A19">
        <v>2500</v>
      </c>
      <c r="B19" t="s">
        <v>743</v>
      </c>
      <c r="C19" s="178">
        <f>ROUND('DOE25'!L198+'DOE25'!L216+'DOE25'!L234+'DOE25'!L277+'DOE25'!L296+'DOE25'!L315,0)</f>
        <v>359954</v>
      </c>
      <c r="D19" s="181">
        <f t="shared" si="0"/>
        <v>1.3</v>
      </c>
    </row>
    <row r="20" spans="1:4" x14ac:dyDescent="0.2">
      <c r="A20">
        <v>2600</v>
      </c>
      <c r="B20" t="s">
        <v>744</v>
      </c>
      <c r="C20" s="178">
        <f>ROUND('DOE25'!L199+'DOE25'!L217+'DOE25'!L235+'DOE25'!L278+'DOE25'!L297+'DOE25'!L316,0)</f>
        <v>3216277</v>
      </c>
      <c r="D20" s="181">
        <f t="shared" si="0"/>
        <v>12</v>
      </c>
    </row>
    <row r="21" spans="1:4" x14ac:dyDescent="0.2">
      <c r="A21">
        <v>2700</v>
      </c>
      <c r="B21" t="s">
        <v>745</v>
      </c>
      <c r="C21" s="178">
        <f>ROUND('DOE25'!L200+'DOE25'!L218+'DOE25'!L236+'DOE25'!L279+'DOE25'!L298+'DOE25'!L317,0)</f>
        <v>1024302</v>
      </c>
      <c r="D21" s="181">
        <f t="shared" si="0"/>
        <v>3.8</v>
      </c>
    </row>
    <row r="22" spans="1:4" x14ac:dyDescent="0.2">
      <c r="A22">
        <v>2900</v>
      </c>
      <c r="B22" t="s">
        <v>747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749</v>
      </c>
      <c r="C23" s="178">
        <f>ROUND('DOE25'!L242+'DOE25'!L324,0)</f>
        <v>0</v>
      </c>
      <c r="D23" s="181">
        <f t="shared" si="0"/>
        <v>0</v>
      </c>
    </row>
    <row r="24" spans="1:4" x14ac:dyDescent="0.2">
      <c r="A24" s="182" t="s">
        <v>757</v>
      </c>
      <c r="B24" t="s">
        <v>750</v>
      </c>
      <c r="C24" s="178">
        <f>ROUND('DOE25'!L243+'DOE25'!L244+'DOE25'!L245+'DOE25'!L246+'DOE25'!L325+'DOE25'!L326+'DOE25'!L327,0)</f>
        <v>23121</v>
      </c>
      <c r="D24" s="181">
        <f t="shared" si="0"/>
        <v>0.1</v>
      </c>
    </row>
    <row r="25" spans="1:4" x14ac:dyDescent="0.2">
      <c r="A25">
        <v>5120</v>
      </c>
      <c r="B25" t="s">
        <v>751</v>
      </c>
      <c r="C25" s="178">
        <f>ROUND('DOE25'!L253+'DOE25'!L334,0)</f>
        <v>508488</v>
      </c>
      <c r="D25" s="181">
        <f t="shared" si="0"/>
        <v>1.9</v>
      </c>
    </row>
    <row r="26" spans="1:4" x14ac:dyDescent="0.2">
      <c r="A26" s="182" t="s">
        <v>752</v>
      </c>
      <c r="B26" t="s">
        <v>753</v>
      </c>
      <c r="C26" s="178">
        <f>'DOE25'!L260+'DOE25'!L261+'DOE25'!L341+'DOE25'!L342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ROUND('DOE25'!L354-'DOE25'!L353,0)-SUM('DOE25'!G89:G102)</f>
        <v>164540</v>
      </c>
      <c r="D27" s="181">
        <f t="shared" si="0"/>
        <v>0.6</v>
      </c>
    </row>
    <row r="28" spans="1:4" x14ac:dyDescent="0.2">
      <c r="B28" s="186" t="s">
        <v>754</v>
      </c>
      <c r="C28" s="179">
        <f>SUM(C10:C27)</f>
        <v>26795483</v>
      </c>
      <c r="D28" s="183">
        <f>ROUND(SUM(D10:D27),0)</f>
        <v>100</v>
      </c>
    </row>
    <row r="29" spans="1:4" x14ac:dyDescent="0.2">
      <c r="A29">
        <v>4000</v>
      </c>
      <c r="B29" t="s">
        <v>759</v>
      </c>
      <c r="C29" s="178">
        <f>ROUND('DOE25'!L247+'DOE25'!L328+'DOE25'!L366+'DOE25'!L367+'DOE25'!L368+'DOE25'!L369+'DOE25'!L370+'DOE25'!L371+'DOE25'!L372,0)</f>
        <v>103276</v>
      </c>
    </row>
    <row r="30" spans="1:4" x14ac:dyDescent="0.2">
      <c r="B30" s="186" t="s">
        <v>760</v>
      </c>
      <c r="C30" s="179">
        <f>SUM(C28:C29)</f>
        <v>26898759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761</v>
      </c>
      <c r="C32" s="179">
        <f>ROUND('DOE25'!L252+'DOE25'!L333,0)</f>
        <v>1835474</v>
      </c>
    </row>
    <row r="34" spans="1:4" x14ac:dyDescent="0.2">
      <c r="A34" s="186" t="s">
        <v>94</v>
      </c>
      <c r="B34" s="187" t="s">
        <v>892</v>
      </c>
      <c r="C34" s="180" t="s">
        <v>755</v>
      </c>
      <c r="D34" s="180" t="s">
        <v>756</v>
      </c>
    </row>
    <row r="35" spans="1:4" x14ac:dyDescent="0.2">
      <c r="A35">
        <v>1100</v>
      </c>
      <c r="B35" s="184" t="s">
        <v>762</v>
      </c>
      <c r="C35" s="178">
        <f>ROUND('DOE25'!F52+'DOE25'!G52+'DOE25'!H52+'DOE25'!I52+'DOE25'!J52,0)</f>
        <v>16973915</v>
      </c>
      <c r="D35" s="181">
        <f t="shared" ref="D35:D40" si="1">ROUND((C35/$C$41)*100,1)</f>
        <v>58.6</v>
      </c>
    </row>
    <row r="36" spans="1:4" x14ac:dyDescent="0.2">
      <c r="B36" s="184" t="s">
        <v>775</v>
      </c>
      <c r="C36" s="178">
        <f>SUM('DOE25'!F104:J104)-SUM('DOE25'!G89:G102)+('DOE25'!F166+'DOE25'!F167+'DOE25'!I166+'DOE25'!I167)-C35</f>
        <v>3214808.679999996</v>
      </c>
      <c r="D36" s="181">
        <f t="shared" si="1"/>
        <v>11.1</v>
      </c>
    </row>
    <row r="37" spans="1:4" x14ac:dyDescent="0.2">
      <c r="A37" s="182" t="s">
        <v>763</v>
      </c>
      <c r="B37" s="184" t="s">
        <v>764</v>
      </c>
      <c r="C37" s="178">
        <f>ROUND('DOE25'!F109+'DOE25'!F110,0)</f>
        <v>5283014</v>
      </c>
      <c r="D37" s="181">
        <f t="shared" si="1"/>
        <v>18.2</v>
      </c>
    </row>
    <row r="38" spans="1:4" x14ac:dyDescent="0.2">
      <c r="A38" s="182" t="s">
        <v>770</v>
      </c>
      <c r="B38" s="184" t="s">
        <v>765</v>
      </c>
      <c r="C38" s="178">
        <f>ROUND(SUM('DOE25'!F132:J132)-SUM('DOE25'!F109:F110),0)</f>
        <v>2325411</v>
      </c>
      <c r="D38" s="181">
        <f t="shared" si="1"/>
        <v>8</v>
      </c>
    </row>
    <row r="39" spans="1:4" x14ac:dyDescent="0.2">
      <c r="A39">
        <v>4000</v>
      </c>
      <c r="B39" s="184" t="s">
        <v>766</v>
      </c>
      <c r="C39" s="178">
        <f>ROUND('DOE25'!F161+'DOE25'!G161+'DOE25'!H161+'DOE25'!I161,0)</f>
        <v>1184899</v>
      </c>
      <c r="D39" s="181">
        <f t="shared" si="1"/>
        <v>4.0999999999999996</v>
      </c>
    </row>
    <row r="40" spans="1:4" x14ac:dyDescent="0.2">
      <c r="A40" s="182" t="s">
        <v>771</v>
      </c>
      <c r="B40" s="184" t="s">
        <v>767</v>
      </c>
      <c r="C40" s="178">
        <f>ROUND(SUM('DOE25'!F181:F183)+SUM('DOE25'!G181:G183)+SUM('DOE25'!H181:H183)+SUM('DOE25'!I181:I183),0)</f>
        <v>0</v>
      </c>
      <c r="D40" s="181">
        <f t="shared" si="1"/>
        <v>0</v>
      </c>
    </row>
    <row r="41" spans="1:4" x14ac:dyDescent="0.2">
      <c r="B41" s="186" t="s">
        <v>768</v>
      </c>
      <c r="C41" s="179">
        <f>SUM(C35:C40)</f>
        <v>28982047.679999996</v>
      </c>
      <c r="D41" s="183">
        <f>SUM(D35:D40)</f>
        <v>100</v>
      </c>
    </row>
    <row r="42" spans="1:4" x14ac:dyDescent="0.2">
      <c r="A42" s="182" t="s">
        <v>773</v>
      </c>
      <c r="B42" s="184" t="s">
        <v>769</v>
      </c>
      <c r="C42" s="178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3CDB-5287-4A0E-91C0-F1877265321A}">
  <sheetPr>
    <tabColor indexed="17"/>
  </sheetPr>
  <dimension ref="A1:IV90"/>
  <sheetViews>
    <sheetView workbookViewId="0">
      <pane ySplit="3" topLeftCell="A4" activePane="bottomLeft" state="frozen"/>
      <selection pane="bottomLeft" activeCell="A4" sqref="A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802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88" t="s">
        <v>799</v>
      </c>
      <c r="B2" s="289"/>
      <c r="C2" s="289"/>
      <c r="D2" s="289"/>
      <c r="E2" s="289"/>
      <c r="F2" s="294" t="str">
        <f>'DOE25'!A2</f>
        <v>Sanborn Regional School District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800</v>
      </c>
      <c r="B3" s="217" t="s">
        <v>801</v>
      </c>
      <c r="C3" s="292" t="s">
        <v>803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>
        <v>2</v>
      </c>
      <c r="B4" s="219">
        <v>3</v>
      </c>
      <c r="C4" s="271" t="s">
        <v>897</v>
      </c>
      <c r="D4" s="271"/>
      <c r="E4" s="271"/>
      <c r="F4" s="271"/>
      <c r="G4" s="271"/>
      <c r="H4" s="271"/>
      <c r="I4" s="271"/>
      <c r="J4" s="271"/>
      <c r="K4" s="271"/>
      <c r="L4" s="271"/>
      <c r="M4" s="27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7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893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800</v>
      </c>
      <c r="B73" s="210" t="s">
        <v>801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B70A" sheet="1" objects="1" scenarios="1"/>
  <mergeCells count="222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A72:E72"/>
    <mergeCell ref="C73:M73"/>
    <mergeCell ref="C74:M74"/>
    <mergeCell ref="C66:M66"/>
    <mergeCell ref="C67:M67"/>
    <mergeCell ref="C68:M68"/>
    <mergeCell ref="C69:M69"/>
    <mergeCell ref="C20:M20"/>
    <mergeCell ref="C29:M29"/>
    <mergeCell ref="C25:M25"/>
    <mergeCell ref="C26:M26"/>
    <mergeCell ref="C27:M27"/>
    <mergeCell ref="C70:M70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F2:I2"/>
    <mergeCell ref="C19:M19"/>
    <mergeCell ref="C9:M9"/>
    <mergeCell ref="C10:M10"/>
    <mergeCell ref="C11:M11"/>
    <mergeCell ref="C12:M12"/>
    <mergeCell ref="C13:M13"/>
    <mergeCell ref="P32:Z32"/>
    <mergeCell ref="C5:M5"/>
    <mergeCell ref="C6:M6"/>
    <mergeCell ref="C7:M7"/>
    <mergeCell ref="C8:M8"/>
    <mergeCell ref="C16:M16"/>
    <mergeCell ref="C17:M17"/>
    <mergeCell ref="C18:M18"/>
    <mergeCell ref="C14:M14"/>
    <mergeCell ref="C15:M15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2010-09-02T14:49:38Z</cp:lastPrinted>
  <dcterms:created xsi:type="dcterms:W3CDTF">1997-12-04T19:04:30Z</dcterms:created>
  <dcterms:modified xsi:type="dcterms:W3CDTF">2025-01-09T20:24:45Z</dcterms:modified>
</cp:coreProperties>
</file>