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C22DEF3B-0F12-41F1-99E8-DF2C3A8ED13B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632" xr2:uid="{4BE0EFFC-5E49-4C8C-BE1D-71BDB714B9AC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2" l="1"/>
  <c r="C10" i="12"/>
  <c r="C12" i="12"/>
  <c r="C13" i="12" s="1"/>
  <c r="C20" i="12"/>
  <c r="C19" i="12"/>
  <c r="C22" i="12" s="1"/>
  <c r="C21" i="12"/>
  <c r="G522" i="1"/>
  <c r="G524" i="1" s="1"/>
  <c r="G521" i="1"/>
  <c r="G189" i="1"/>
  <c r="G207" i="1"/>
  <c r="G208" i="1"/>
  <c r="L208" i="1" s="1"/>
  <c r="G190" i="1"/>
  <c r="G203" i="1" s="1"/>
  <c r="G249" i="1" s="1"/>
  <c r="G263" i="1" s="1"/>
  <c r="G215" i="1"/>
  <c r="G197" i="1"/>
  <c r="G213" i="1"/>
  <c r="L213" i="1" s="1"/>
  <c r="G195" i="1"/>
  <c r="B11" i="12"/>
  <c r="B10" i="12"/>
  <c r="B13" i="12" s="1"/>
  <c r="A13" i="12" s="1"/>
  <c r="B12" i="12"/>
  <c r="B21" i="12"/>
  <c r="B19" i="12"/>
  <c r="B20" i="12"/>
  <c r="B37" i="12"/>
  <c r="B40" i="12" s="1"/>
  <c r="I594" i="1"/>
  <c r="K594" i="1" s="1"/>
  <c r="H594" i="1"/>
  <c r="K294" i="1"/>
  <c r="J288" i="1"/>
  <c r="J301" i="1" s="1"/>
  <c r="J269" i="1"/>
  <c r="I292" i="1"/>
  <c r="I293" i="1"/>
  <c r="I273" i="1"/>
  <c r="I274" i="1"/>
  <c r="K288" i="1"/>
  <c r="I288" i="1"/>
  <c r="H288" i="1"/>
  <c r="H301" i="1" s="1"/>
  <c r="G288" i="1"/>
  <c r="L288" i="1" s="1"/>
  <c r="F288" i="1"/>
  <c r="K269" i="1"/>
  <c r="I269" i="1"/>
  <c r="H269" i="1"/>
  <c r="G269" i="1"/>
  <c r="G282" i="1" s="1"/>
  <c r="F269" i="1"/>
  <c r="F282" i="1" s="1"/>
  <c r="F330" i="1" s="1"/>
  <c r="F344" i="1" s="1"/>
  <c r="G292" i="1"/>
  <c r="L292" i="1" s="1"/>
  <c r="G273" i="1"/>
  <c r="H292" i="1"/>
  <c r="F292" i="1"/>
  <c r="H273" i="1"/>
  <c r="L273" i="1" s="1"/>
  <c r="E110" i="2" s="1"/>
  <c r="K275" i="1"/>
  <c r="L275" i="1" s="1"/>
  <c r="E112" i="2" s="1"/>
  <c r="F273" i="1"/>
  <c r="H287" i="1"/>
  <c r="G287" i="1"/>
  <c r="G301" i="1" s="1"/>
  <c r="F287" i="1"/>
  <c r="I287" i="1"/>
  <c r="J268" i="1"/>
  <c r="J282" i="1" s="1"/>
  <c r="I268" i="1"/>
  <c r="L268" i="1" s="1"/>
  <c r="H268" i="1"/>
  <c r="G268" i="1"/>
  <c r="F268" i="1"/>
  <c r="F271" i="1"/>
  <c r="B36" i="12" s="1"/>
  <c r="A40" i="12" s="1"/>
  <c r="H532" i="1"/>
  <c r="L532" i="1" s="1"/>
  <c r="I512" i="1"/>
  <c r="I511" i="1"/>
  <c r="H531" i="1"/>
  <c r="H512" i="1"/>
  <c r="H511" i="1"/>
  <c r="F517" i="1"/>
  <c r="L517" i="1" s="1"/>
  <c r="F516" i="1"/>
  <c r="F512" i="1"/>
  <c r="F511" i="1"/>
  <c r="F522" i="1"/>
  <c r="F521" i="1"/>
  <c r="L521" i="1" s="1"/>
  <c r="H527" i="1"/>
  <c r="H529" i="1" s="1"/>
  <c r="H526" i="1"/>
  <c r="I586" i="1"/>
  <c r="H586" i="1"/>
  <c r="I582" i="1"/>
  <c r="H582" i="1"/>
  <c r="K582" i="1" s="1"/>
  <c r="I581" i="1"/>
  <c r="I588" i="1" s="1"/>
  <c r="H640" i="1" s="1"/>
  <c r="H581" i="1"/>
  <c r="K581" i="1" s="1"/>
  <c r="I217" i="1"/>
  <c r="I213" i="1"/>
  <c r="I195" i="1"/>
  <c r="H218" i="1"/>
  <c r="L218" i="1" s="1"/>
  <c r="H200" i="1"/>
  <c r="L200" i="1" s="1"/>
  <c r="K214" i="1"/>
  <c r="K196" i="1"/>
  <c r="J217" i="1"/>
  <c r="J199" i="1"/>
  <c r="J213" i="1"/>
  <c r="J221" i="1" s="1"/>
  <c r="J195" i="1"/>
  <c r="J203" i="1" s="1"/>
  <c r="J249" i="1" s="1"/>
  <c r="I199" i="1"/>
  <c r="I208" i="1"/>
  <c r="I190" i="1"/>
  <c r="H217" i="1"/>
  <c r="H199" i="1"/>
  <c r="H203" i="1" s="1"/>
  <c r="H214" i="1"/>
  <c r="L214" i="1" s="1"/>
  <c r="H196" i="1"/>
  <c r="H213" i="1"/>
  <c r="H195" i="1"/>
  <c r="L195" i="1" s="1"/>
  <c r="H212" i="1"/>
  <c r="H194" i="1"/>
  <c r="H208" i="1"/>
  <c r="H190" i="1"/>
  <c r="F213" i="1"/>
  <c r="F195" i="1"/>
  <c r="F212" i="1"/>
  <c r="F194" i="1"/>
  <c r="L194" i="1" s="1"/>
  <c r="F217" i="1"/>
  <c r="L217" i="1" s="1"/>
  <c r="F199" i="1"/>
  <c r="F208" i="1"/>
  <c r="F190" i="1"/>
  <c r="F203" i="1" s="1"/>
  <c r="F214" i="1"/>
  <c r="F196" i="1"/>
  <c r="L196" i="1" s="1"/>
  <c r="F210" i="1"/>
  <c r="F221" i="1" s="1"/>
  <c r="F102" i="1"/>
  <c r="F103" i="1" s="1"/>
  <c r="G360" i="1"/>
  <c r="F360" i="1"/>
  <c r="G359" i="1"/>
  <c r="F359" i="1"/>
  <c r="I359" i="1" s="1"/>
  <c r="I361" i="1" s="1"/>
  <c r="H624" i="1" s="1"/>
  <c r="I351" i="1"/>
  <c r="I354" i="1" s="1"/>
  <c r="G624" i="1" s="1"/>
  <c r="J624" i="1" s="1"/>
  <c r="I350" i="1"/>
  <c r="K351" i="1"/>
  <c r="K350" i="1"/>
  <c r="K354" i="1" s="1"/>
  <c r="J351" i="1"/>
  <c r="J350" i="1"/>
  <c r="J354" i="1" s="1"/>
  <c r="F350" i="1"/>
  <c r="L350" i="1" s="1"/>
  <c r="F351" i="1"/>
  <c r="L351" i="1" s="1"/>
  <c r="H351" i="1"/>
  <c r="H350" i="1"/>
  <c r="C60" i="2"/>
  <c r="B2" i="13"/>
  <c r="F8" i="13"/>
  <c r="G8" i="13"/>
  <c r="L232" i="1"/>
  <c r="D39" i="13"/>
  <c r="F13" i="13"/>
  <c r="G13" i="13"/>
  <c r="L198" i="1"/>
  <c r="L216" i="1"/>
  <c r="L234" i="1"/>
  <c r="C114" i="2" s="1"/>
  <c r="E13" i="13"/>
  <c r="C13" i="13" s="1"/>
  <c r="F16" i="13"/>
  <c r="G16" i="13"/>
  <c r="L201" i="1"/>
  <c r="C117" i="2" s="1"/>
  <c r="L219" i="1"/>
  <c r="L237" i="1"/>
  <c r="E16" i="13"/>
  <c r="F5" i="13"/>
  <c r="G5" i="13"/>
  <c r="L189" i="1"/>
  <c r="L190" i="1"/>
  <c r="L191" i="1"/>
  <c r="L192" i="1"/>
  <c r="L207" i="1"/>
  <c r="L209" i="1"/>
  <c r="C12" i="10" s="1"/>
  <c r="L210" i="1"/>
  <c r="L225" i="1"/>
  <c r="L239" i="1" s="1"/>
  <c r="L226" i="1"/>
  <c r="L227" i="1"/>
  <c r="L228" i="1"/>
  <c r="F6" i="13"/>
  <c r="G6" i="13"/>
  <c r="L212" i="1"/>
  <c r="L230" i="1"/>
  <c r="F7" i="13"/>
  <c r="G7" i="13"/>
  <c r="L231" i="1"/>
  <c r="F12" i="13"/>
  <c r="D12" i="13" s="1"/>
  <c r="C12" i="13" s="1"/>
  <c r="G12" i="13"/>
  <c r="L197" i="1"/>
  <c r="L215" i="1"/>
  <c r="L233" i="1"/>
  <c r="F14" i="13"/>
  <c r="G14" i="13"/>
  <c r="L235" i="1"/>
  <c r="F15" i="13"/>
  <c r="G15" i="13"/>
  <c r="L236" i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D19" i="13"/>
  <c r="C19" i="13" s="1"/>
  <c r="F29" i="13"/>
  <c r="G29" i="13"/>
  <c r="L352" i="1"/>
  <c r="J320" i="1"/>
  <c r="K301" i="1"/>
  <c r="K320" i="1"/>
  <c r="L270" i="1"/>
  <c r="L271" i="1"/>
  <c r="E104" i="2" s="1"/>
  <c r="L274" i="1"/>
  <c r="L276" i="1"/>
  <c r="L277" i="1"/>
  <c r="E114" i="2" s="1"/>
  <c r="L278" i="1"/>
  <c r="E115" i="2" s="1"/>
  <c r="L279" i="1"/>
  <c r="L280" i="1"/>
  <c r="L289" i="1"/>
  <c r="E103" i="2" s="1"/>
  <c r="L290" i="1"/>
  <c r="L293" i="1"/>
  <c r="E111" i="2" s="1"/>
  <c r="L294" i="1"/>
  <c r="L295" i="1"/>
  <c r="L296" i="1"/>
  <c r="L297" i="1"/>
  <c r="L298" i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L318" i="1"/>
  <c r="L325" i="1"/>
  <c r="E106" i="2" s="1"/>
  <c r="L326" i="1"/>
  <c r="L327" i="1"/>
  <c r="L252" i="1"/>
  <c r="C32" i="10" s="1"/>
  <c r="L253" i="1"/>
  <c r="L333" i="1"/>
  <c r="L334" i="1"/>
  <c r="H25" i="13"/>
  <c r="C25" i="13" s="1"/>
  <c r="H33" i="13"/>
  <c r="L247" i="1"/>
  <c r="L328" i="1"/>
  <c r="F22" i="13"/>
  <c r="C22" i="13" s="1"/>
  <c r="C16" i="13"/>
  <c r="C11" i="13"/>
  <c r="C10" i="13"/>
  <c r="C9" i="13"/>
  <c r="L353" i="1"/>
  <c r="B4" i="12"/>
  <c r="C36" i="12"/>
  <c r="C40" i="12"/>
  <c r="B27" i="12"/>
  <c r="C27" i="12"/>
  <c r="B31" i="12"/>
  <c r="C31" i="12"/>
  <c r="A31" i="12"/>
  <c r="B9" i="12"/>
  <c r="C9" i="12"/>
  <c r="B18" i="12"/>
  <c r="B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3" i="1" s="1"/>
  <c r="C131" i="2" s="1"/>
  <c r="L391" i="1"/>
  <c r="L392" i="1"/>
  <c r="L395" i="1"/>
  <c r="L399" i="1" s="1"/>
  <c r="C132" i="2" s="1"/>
  <c r="L396" i="1"/>
  <c r="L397" i="1"/>
  <c r="L398" i="1"/>
  <c r="L258" i="1"/>
  <c r="J52" i="1"/>
  <c r="G48" i="2" s="1"/>
  <c r="G51" i="2"/>
  <c r="G54" i="2" s="1"/>
  <c r="G53" i="2"/>
  <c r="F2" i="11"/>
  <c r="L603" i="1"/>
  <c r="H653" i="1" s="1"/>
  <c r="L602" i="1"/>
  <c r="G653" i="1" s="1"/>
  <c r="L601" i="1"/>
  <c r="L604" i="1" s="1"/>
  <c r="F653" i="1"/>
  <c r="C40" i="10"/>
  <c r="F52" i="1"/>
  <c r="F104" i="1" s="1"/>
  <c r="G52" i="1"/>
  <c r="D48" i="2" s="1"/>
  <c r="D55" i="2" s="1"/>
  <c r="D96" i="2" s="1"/>
  <c r="H52" i="1"/>
  <c r="I52" i="1"/>
  <c r="F71" i="1"/>
  <c r="C49" i="2" s="1"/>
  <c r="F86" i="1"/>
  <c r="G103" i="1"/>
  <c r="G104" i="1"/>
  <c r="H71" i="1"/>
  <c r="H104" i="1" s="1"/>
  <c r="H185" i="1" s="1"/>
  <c r="G619" i="1" s="1"/>
  <c r="J619" i="1" s="1"/>
  <c r="H86" i="1"/>
  <c r="H103" i="1"/>
  <c r="I103" i="1"/>
  <c r="I104" i="1"/>
  <c r="J103" i="1"/>
  <c r="C37" i="10"/>
  <c r="F113" i="1"/>
  <c r="F132" i="1" s="1"/>
  <c r="F128" i="1"/>
  <c r="G113" i="1"/>
  <c r="G132" i="1" s="1"/>
  <c r="G128" i="1"/>
  <c r="H113" i="1"/>
  <c r="H128" i="1"/>
  <c r="H132" i="1" s="1"/>
  <c r="I113" i="1"/>
  <c r="I128" i="1"/>
  <c r="I132" i="1" s="1"/>
  <c r="J113" i="1"/>
  <c r="J132" i="1" s="1"/>
  <c r="J128" i="1"/>
  <c r="F139" i="1"/>
  <c r="F161" i="1" s="1"/>
  <c r="F154" i="1"/>
  <c r="G139" i="1"/>
  <c r="D77" i="2" s="1"/>
  <c r="D83" i="2" s="1"/>
  <c r="G154" i="1"/>
  <c r="H139" i="1"/>
  <c r="H154" i="1"/>
  <c r="H161" i="1"/>
  <c r="I139" i="1"/>
  <c r="I161" i="1" s="1"/>
  <c r="I154" i="1"/>
  <c r="C18" i="10"/>
  <c r="L242" i="1"/>
  <c r="C23" i="10" s="1"/>
  <c r="L324" i="1"/>
  <c r="E105" i="2" s="1"/>
  <c r="L246" i="1"/>
  <c r="C25" i="10"/>
  <c r="L260" i="1"/>
  <c r="C134" i="2" s="1"/>
  <c r="L261" i="1"/>
  <c r="L341" i="1"/>
  <c r="L342" i="1"/>
  <c r="I655" i="1"/>
  <c r="I660" i="1"/>
  <c r="H652" i="1"/>
  <c r="I659" i="1"/>
  <c r="C6" i="10"/>
  <c r="C42" i="10"/>
  <c r="L366" i="1"/>
  <c r="C29" i="10" s="1"/>
  <c r="L367" i="1"/>
  <c r="L368" i="1"/>
  <c r="L369" i="1"/>
  <c r="L370" i="1"/>
  <c r="L371" i="1"/>
  <c r="L372" i="1"/>
  <c r="B2" i="10"/>
  <c r="L336" i="1"/>
  <c r="L337" i="1"/>
  <c r="L338" i="1"/>
  <c r="L343" i="1" s="1"/>
  <c r="L339" i="1"/>
  <c r="K343" i="1"/>
  <c r="L511" i="1"/>
  <c r="F539" i="1"/>
  <c r="L512" i="1"/>
  <c r="F540" i="1"/>
  <c r="L513" i="1"/>
  <c r="F541" i="1" s="1"/>
  <c r="L516" i="1"/>
  <c r="G539" i="1"/>
  <c r="L518" i="1"/>
  <c r="G541" i="1"/>
  <c r="L522" i="1"/>
  <c r="H540" i="1" s="1"/>
  <c r="L523" i="1"/>
  <c r="H541" i="1"/>
  <c r="L526" i="1"/>
  <c r="I539" i="1"/>
  <c r="L528" i="1"/>
  <c r="I541" i="1" s="1"/>
  <c r="L531" i="1"/>
  <c r="J539" i="1" s="1"/>
  <c r="L533" i="1"/>
  <c r="J541" i="1" s="1"/>
  <c r="E124" i="2"/>
  <c r="E123" i="2"/>
  <c r="E136" i="2" s="1"/>
  <c r="K262" i="1"/>
  <c r="J262" i="1"/>
  <c r="I262" i="1"/>
  <c r="H262" i="1"/>
  <c r="G262" i="1"/>
  <c r="F262" i="1"/>
  <c r="C124" i="2"/>
  <c r="C123" i="2"/>
  <c r="A1" i="2"/>
  <c r="A2" i="2"/>
  <c r="C9" i="2"/>
  <c r="C19" i="2" s="1"/>
  <c r="D9" i="2"/>
  <c r="D19" i="2" s="1"/>
  <c r="E9" i="2"/>
  <c r="F9" i="2"/>
  <c r="I431" i="1"/>
  <c r="J9" i="1"/>
  <c r="G9" i="2" s="1"/>
  <c r="G19" i="2" s="1"/>
  <c r="C10" i="2"/>
  <c r="D10" i="2"/>
  <c r="E10" i="2"/>
  <c r="F10" i="2"/>
  <c r="I432" i="1"/>
  <c r="J10" i="1"/>
  <c r="G10" i="2"/>
  <c r="C11" i="2"/>
  <c r="C12" i="2"/>
  <c r="D12" i="2"/>
  <c r="E12" i="2"/>
  <c r="F12" i="2"/>
  <c r="I433" i="1"/>
  <c r="J12" i="1"/>
  <c r="G12" i="2"/>
  <c r="C13" i="2"/>
  <c r="D13" i="2"/>
  <c r="E13" i="2"/>
  <c r="F13" i="2"/>
  <c r="I434" i="1"/>
  <c r="J13" i="1"/>
  <c r="G13" i="2"/>
  <c r="C14" i="2"/>
  <c r="D14" i="2"/>
  <c r="E14" i="2"/>
  <c r="F14" i="2"/>
  <c r="I435" i="1"/>
  <c r="J14" i="1"/>
  <c r="G14" i="2" s="1"/>
  <c r="F15" i="2"/>
  <c r="C16" i="2"/>
  <c r="D16" i="2"/>
  <c r="E16" i="2"/>
  <c r="F16" i="2"/>
  <c r="C17" i="2"/>
  <c r="D17" i="2"/>
  <c r="E17" i="2"/>
  <c r="F17" i="2"/>
  <c r="I436" i="1"/>
  <c r="J17" i="1"/>
  <c r="G17" i="2" s="1"/>
  <c r="C18" i="2"/>
  <c r="D18" i="2"/>
  <c r="E18" i="2"/>
  <c r="F18" i="2"/>
  <c r="I437" i="1"/>
  <c r="J18" i="1"/>
  <c r="G18" i="2" s="1"/>
  <c r="E19" i="2"/>
  <c r="F19" i="2"/>
  <c r="C22" i="2"/>
  <c r="D22" i="2"/>
  <c r="E22" i="2"/>
  <c r="F22" i="2"/>
  <c r="I440" i="1"/>
  <c r="I444" i="1" s="1"/>
  <c r="J23" i="1"/>
  <c r="G22" i="2" s="1"/>
  <c r="G32" i="2" s="1"/>
  <c r="C23" i="2"/>
  <c r="D23" i="2"/>
  <c r="E23" i="2"/>
  <c r="E32" i="2" s="1"/>
  <c r="F23" i="2"/>
  <c r="F32" i="2" s="1"/>
  <c r="I441" i="1"/>
  <c r="J24" i="1"/>
  <c r="G23" i="2"/>
  <c r="C24" i="2"/>
  <c r="D24" i="2"/>
  <c r="D32" i="2" s="1"/>
  <c r="E24" i="2"/>
  <c r="F24" i="2"/>
  <c r="I442" i="1"/>
  <c r="J25" i="1"/>
  <c r="G24" i="2"/>
  <c r="C25" i="2"/>
  <c r="C32" i="2" s="1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 s="1"/>
  <c r="C34" i="2"/>
  <c r="D34" i="2"/>
  <c r="E34" i="2"/>
  <c r="F34" i="2"/>
  <c r="C35" i="2"/>
  <c r="D35" i="2"/>
  <c r="E35" i="2"/>
  <c r="F35" i="2"/>
  <c r="C36" i="2"/>
  <c r="D36" i="2"/>
  <c r="E36" i="2"/>
  <c r="E42" i="2" s="1"/>
  <c r="E43" i="2" s="1"/>
  <c r="F36" i="2"/>
  <c r="F42" i="2" s="1"/>
  <c r="F43" i="2" s="1"/>
  <c r="I446" i="1"/>
  <c r="J37" i="1" s="1"/>
  <c r="C37" i="2"/>
  <c r="D37" i="2"/>
  <c r="E37" i="2"/>
  <c r="F37" i="2"/>
  <c r="I447" i="1"/>
  <c r="J38" i="1"/>
  <c r="G37" i="2" s="1"/>
  <c r="C38" i="2"/>
  <c r="D38" i="2"/>
  <c r="E38" i="2"/>
  <c r="F38" i="2"/>
  <c r="I448" i="1"/>
  <c r="J40" i="1" s="1"/>
  <c r="G39" i="2" s="1"/>
  <c r="C40" i="2"/>
  <c r="C42" i="2" s="1"/>
  <c r="D40" i="2"/>
  <c r="E40" i="2"/>
  <c r="F40" i="2"/>
  <c r="I449" i="1"/>
  <c r="J41" i="1"/>
  <c r="G40" i="2"/>
  <c r="C41" i="2"/>
  <c r="D41" i="2"/>
  <c r="E41" i="2"/>
  <c r="F41" i="2"/>
  <c r="D42" i="2"/>
  <c r="C48" i="2"/>
  <c r="E48" i="2"/>
  <c r="F48" i="2"/>
  <c r="F55" i="2" s="1"/>
  <c r="E49" i="2"/>
  <c r="E54" i="2" s="1"/>
  <c r="C50" i="2"/>
  <c r="E50" i="2"/>
  <c r="C51" i="2"/>
  <c r="D51" i="2"/>
  <c r="D54" i="2" s="1"/>
  <c r="E51" i="2"/>
  <c r="F51" i="2"/>
  <c r="D52" i="2"/>
  <c r="D53" i="2"/>
  <c r="E53" i="2"/>
  <c r="F53" i="2"/>
  <c r="F54" i="2"/>
  <c r="C58" i="2"/>
  <c r="C59" i="2"/>
  <c r="C62" i="2" s="1"/>
  <c r="C61" i="2"/>
  <c r="D61" i="2"/>
  <c r="E61" i="2"/>
  <c r="F61" i="2"/>
  <c r="F62" i="2" s="1"/>
  <c r="G61" i="2"/>
  <c r="D62" i="2"/>
  <c r="E62" i="2"/>
  <c r="G62" i="2"/>
  <c r="C64" i="2"/>
  <c r="F64" i="2"/>
  <c r="F70" i="2" s="1"/>
  <c r="F73" i="2" s="1"/>
  <c r="C65" i="2"/>
  <c r="C70" i="2" s="1"/>
  <c r="C73" i="2" s="1"/>
  <c r="F65" i="2"/>
  <c r="C66" i="2"/>
  <c r="C67" i="2"/>
  <c r="C68" i="2"/>
  <c r="E68" i="2"/>
  <c r="E70" i="2" s="1"/>
  <c r="E73" i="2" s="1"/>
  <c r="F68" i="2"/>
  <c r="C69" i="2"/>
  <c r="D69" i="2"/>
  <c r="E69" i="2"/>
  <c r="F69" i="2"/>
  <c r="G69" i="2"/>
  <c r="G70" i="2" s="1"/>
  <c r="G73" i="2" s="1"/>
  <c r="D70" i="2"/>
  <c r="C71" i="2"/>
  <c r="D71" i="2"/>
  <c r="E71" i="2"/>
  <c r="C72" i="2"/>
  <c r="E72" i="2"/>
  <c r="D73" i="2"/>
  <c r="C77" i="2"/>
  <c r="E77" i="2"/>
  <c r="E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C85" i="2"/>
  <c r="C95" i="2" s="1"/>
  <c r="F85" i="2"/>
  <c r="F95" i="2" s="1"/>
  <c r="C86" i="2"/>
  <c r="F86" i="2"/>
  <c r="D88" i="2"/>
  <c r="D95" i="2" s="1"/>
  <c r="E88" i="2"/>
  <c r="E95" i="2" s="1"/>
  <c r="F88" i="2"/>
  <c r="G88" i="2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G95" i="2"/>
  <c r="C104" i="2"/>
  <c r="D107" i="2"/>
  <c r="F107" i="2"/>
  <c r="G107" i="2"/>
  <c r="C113" i="2"/>
  <c r="E113" i="2"/>
  <c r="E116" i="2"/>
  <c r="E117" i="2"/>
  <c r="F120" i="2"/>
  <c r="F137" i="2" s="1"/>
  <c r="G120" i="2"/>
  <c r="C122" i="2"/>
  <c r="E122" i="2"/>
  <c r="F122" i="2"/>
  <c r="F136" i="2" s="1"/>
  <c r="D126" i="2"/>
  <c r="D136" i="2" s="1"/>
  <c r="E126" i="2"/>
  <c r="F126" i="2"/>
  <c r="K411" i="1"/>
  <c r="K419" i="1"/>
  <c r="K425" i="1"/>
  <c r="K426" i="1"/>
  <c r="G126" i="2"/>
  <c r="L255" i="1"/>
  <c r="C127" i="2" s="1"/>
  <c r="E127" i="2"/>
  <c r="L256" i="1"/>
  <c r="C128" i="2"/>
  <c r="L257" i="1"/>
  <c r="C129" i="2"/>
  <c r="E129" i="2"/>
  <c r="E134" i="2"/>
  <c r="C135" i="2"/>
  <c r="E135" i="2"/>
  <c r="G136" i="2"/>
  <c r="G137" i="2" s="1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F490" i="1"/>
  <c r="B153" i="2" s="1"/>
  <c r="G490" i="1"/>
  <c r="C153" i="2" s="1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 s="1"/>
  <c r="G493" i="1"/>
  <c r="C156" i="2"/>
  <c r="H493" i="1"/>
  <c r="D156" i="2"/>
  <c r="I493" i="1"/>
  <c r="E156" i="2"/>
  <c r="J493" i="1"/>
  <c r="F156" i="2" s="1"/>
  <c r="F19" i="1"/>
  <c r="G607" i="1" s="1"/>
  <c r="G19" i="1"/>
  <c r="G608" i="1" s="1"/>
  <c r="J608" i="1" s="1"/>
  <c r="H19" i="1"/>
  <c r="I19" i="1"/>
  <c r="F33" i="1"/>
  <c r="G33" i="1"/>
  <c r="G44" i="1" s="1"/>
  <c r="H608" i="1" s="1"/>
  <c r="H33" i="1"/>
  <c r="I33" i="1"/>
  <c r="F43" i="1"/>
  <c r="G43" i="1"/>
  <c r="H43" i="1"/>
  <c r="H44" i="1" s="1"/>
  <c r="H609" i="1" s="1"/>
  <c r="I43" i="1"/>
  <c r="G615" i="1" s="1"/>
  <c r="J615" i="1" s="1"/>
  <c r="F44" i="1"/>
  <c r="F169" i="1"/>
  <c r="F184" i="1" s="1"/>
  <c r="I169" i="1"/>
  <c r="I184" i="1" s="1"/>
  <c r="F175" i="1"/>
  <c r="G175" i="1"/>
  <c r="H175" i="1"/>
  <c r="H184" i="1" s="1"/>
  <c r="I175" i="1"/>
  <c r="J175" i="1"/>
  <c r="J184" i="1" s="1"/>
  <c r="F180" i="1"/>
  <c r="G180" i="1"/>
  <c r="H180" i="1"/>
  <c r="I180" i="1"/>
  <c r="G184" i="1"/>
  <c r="I203" i="1"/>
  <c r="I249" i="1" s="1"/>
  <c r="I263" i="1" s="1"/>
  <c r="K203" i="1"/>
  <c r="G221" i="1"/>
  <c r="I221" i="1"/>
  <c r="K221" i="1"/>
  <c r="K249" i="1" s="1"/>
  <c r="K263" i="1" s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L262" i="1"/>
  <c r="I282" i="1"/>
  <c r="I330" i="1" s="1"/>
  <c r="I344" i="1" s="1"/>
  <c r="F301" i="1"/>
  <c r="I301" i="1"/>
  <c r="F320" i="1"/>
  <c r="G320" i="1"/>
  <c r="H320" i="1"/>
  <c r="I320" i="1"/>
  <c r="F329" i="1"/>
  <c r="G329" i="1"/>
  <c r="H329" i="1"/>
  <c r="I329" i="1"/>
  <c r="L329" i="1" s="1"/>
  <c r="J329" i="1"/>
  <c r="K329" i="1"/>
  <c r="F354" i="1"/>
  <c r="G354" i="1"/>
  <c r="H354" i="1"/>
  <c r="I360" i="1"/>
  <c r="F361" i="1"/>
  <c r="G361" i="1"/>
  <c r="H361" i="1"/>
  <c r="L373" i="1"/>
  <c r="F374" i="1"/>
  <c r="G374" i="1"/>
  <c r="H374" i="1"/>
  <c r="I374" i="1"/>
  <c r="J374" i="1"/>
  <c r="K374" i="1"/>
  <c r="L374" i="1"/>
  <c r="F385" i="1"/>
  <c r="F400" i="1" s="1"/>
  <c r="H633" i="1" s="1"/>
  <c r="G385" i="1"/>
  <c r="H385" i="1"/>
  <c r="I385" i="1"/>
  <c r="F393" i="1"/>
  <c r="G393" i="1"/>
  <c r="G400" i="1" s="1"/>
  <c r="H635" i="1" s="1"/>
  <c r="H393" i="1"/>
  <c r="H400" i="1" s="1"/>
  <c r="H634" i="1" s="1"/>
  <c r="I393" i="1"/>
  <c r="I400" i="1" s="1"/>
  <c r="F399" i="1"/>
  <c r="G399" i="1"/>
  <c r="H399" i="1"/>
  <c r="I399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5" i="1" s="1"/>
  <c r="L422" i="1"/>
  <c r="L423" i="1"/>
  <c r="L424" i="1"/>
  <c r="F425" i="1"/>
  <c r="G425" i="1"/>
  <c r="H425" i="1"/>
  <c r="H426" i="1" s="1"/>
  <c r="I425" i="1"/>
  <c r="I426" i="1" s="1"/>
  <c r="J425" i="1"/>
  <c r="J426" i="1"/>
  <c r="F438" i="1"/>
  <c r="G438" i="1"/>
  <c r="H438" i="1"/>
  <c r="G631" i="1" s="1"/>
  <c r="I438" i="1"/>
  <c r="G632" i="1" s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H631" i="1" s="1"/>
  <c r="F460" i="1"/>
  <c r="G460" i="1"/>
  <c r="H460" i="1"/>
  <c r="H466" i="1" s="1"/>
  <c r="H614" i="1" s="1"/>
  <c r="I460" i="1"/>
  <c r="J460" i="1"/>
  <c r="J466" i="1" s="1"/>
  <c r="H616" i="1" s="1"/>
  <c r="F464" i="1"/>
  <c r="G464" i="1"/>
  <c r="H464" i="1"/>
  <c r="I464" i="1"/>
  <c r="J464" i="1"/>
  <c r="F466" i="1"/>
  <c r="H612" i="1" s="1"/>
  <c r="J612" i="1" s="1"/>
  <c r="G466" i="1"/>
  <c r="H613" i="1" s="1"/>
  <c r="I466" i="1"/>
  <c r="K485" i="1"/>
  <c r="K486" i="1"/>
  <c r="K487" i="1"/>
  <c r="K488" i="1"/>
  <c r="K489" i="1"/>
  <c r="K491" i="1"/>
  <c r="K492" i="1"/>
  <c r="K493" i="1"/>
  <c r="F507" i="1"/>
  <c r="G507" i="1"/>
  <c r="H507" i="1"/>
  <c r="I507" i="1"/>
  <c r="F514" i="1"/>
  <c r="G514" i="1"/>
  <c r="G535" i="1" s="1"/>
  <c r="H514" i="1"/>
  <c r="I514" i="1"/>
  <c r="J514" i="1"/>
  <c r="K514" i="1"/>
  <c r="L514" i="1"/>
  <c r="F519" i="1"/>
  <c r="G519" i="1"/>
  <c r="H519" i="1"/>
  <c r="I519" i="1"/>
  <c r="J519" i="1"/>
  <c r="K519" i="1"/>
  <c r="K535" i="1" s="1"/>
  <c r="H524" i="1"/>
  <c r="I524" i="1"/>
  <c r="J524" i="1"/>
  <c r="J535" i="1" s="1"/>
  <c r="K524" i="1"/>
  <c r="F529" i="1"/>
  <c r="G529" i="1"/>
  <c r="I529" i="1"/>
  <c r="J529" i="1"/>
  <c r="K529" i="1"/>
  <c r="F534" i="1"/>
  <c r="G534" i="1"/>
  <c r="I534" i="1"/>
  <c r="I535" i="1" s="1"/>
  <c r="J534" i="1"/>
  <c r="K534" i="1"/>
  <c r="L547" i="1"/>
  <c r="L550" i="1" s="1"/>
  <c r="L561" i="1" s="1"/>
  <c r="L548" i="1"/>
  <c r="L549" i="1"/>
  <c r="F550" i="1"/>
  <c r="G550" i="1"/>
  <c r="H550" i="1"/>
  <c r="I550" i="1"/>
  <c r="I561" i="1" s="1"/>
  <c r="J550" i="1"/>
  <c r="J561" i="1" s="1"/>
  <c r="K550" i="1"/>
  <c r="K561" i="1" s="1"/>
  <c r="L552" i="1"/>
  <c r="L553" i="1"/>
  <c r="L554" i="1"/>
  <c r="L555" i="1" s="1"/>
  <c r="F555" i="1"/>
  <c r="F561" i="1" s="1"/>
  <c r="G555" i="1"/>
  <c r="H555" i="1"/>
  <c r="I555" i="1"/>
  <c r="J555" i="1"/>
  <c r="K555" i="1"/>
  <c r="L557" i="1"/>
  <c r="L560" i="1" s="1"/>
  <c r="L558" i="1"/>
  <c r="L559" i="1"/>
  <c r="F560" i="1"/>
  <c r="G560" i="1"/>
  <c r="G561" i="1" s="1"/>
  <c r="H560" i="1"/>
  <c r="H561" i="1" s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3" i="1"/>
  <c r="K584" i="1"/>
  <c r="K585" i="1"/>
  <c r="K586" i="1"/>
  <c r="K587" i="1"/>
  <c r="J588" i="1"/>
  <c r="K592" i="1"/>
  <c r="K593" i="1"/>
  <c r="H595" i="1"/>
  <c r="J595" i="1"/>
  <c r="F604" i="1"/>
  <c r="G604" i="1"/>
  <c r="H604" i="1"/>
  <c r="I604" i="1"/>
  <c r="J604" i="1"/>
  <c r="K604" i="1"/>
  <c r="H607" i="1"/>
  <c r="G609" i="1"/>
  <c r="J609" i="1" s="1"/>
  <c r="G610" i="1"/>
  <c r="G612" i="1"/>
  <c r="G613" i="1"/>
  <c r="J613" i="1" s="1"/>
  <c r="G614" i="1"/>
  <c r="J614" i="1" s="1"/>
  <c r="H615" i="1"/>
  <c r="H617" i="1"/>
  <c r="H618" i="1"/>
  <c r="H619" i="1"/>
  <c r="H620" i="1"/>
  <c r="H621" i="1"/>
  <c r="H622" i="1"/>
  <c r="H623" i="1"/>
  <c r="H625" i="1"/>
  <c r="G626" i="1"/>
  <c r="J626" i="1" s="1"/>
  <c r="H626" i="1"/>
  <c r="H627" i="1"/>
  <c r="H628" i="1"/>
  <c r="G629" i="1"/>
  <c r="J629" i="1" s="1"/>
  <c r="G630" i="1"/>
  <c r="G633" i="1"/>
  <c r="G634" i="1"/>
  <c r="J634" i="1" s="1"/>
  <c r="G635" i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E120" i="2" l="1"/>
  <c r="J635" i="1"/>
  <c r="K541" i="1"/>
  <c r="L221" i="1"/>
  <c r="G650" i="1" s="1"/>
  <c r="G654" i="1" s="1"/>
  <c r="L524" i="1"/>
  <c r="H539" i="1"/>
  <c r="H542" i="1" s="1"/>
  <c r="G156" i="2"/>
  <c r="C15" i="10"/>
  <c r="D6" i="13"/>
  <c r="C6" i="13" s="1"/>
  <c r="C110" i="2"/>
  <c r="J633" i="1"/>
  <c r="I451" i="1"/>
  <c r="H632" i="1" s="1"/>
  <c r="J632" i="1" s="1"/>
  <c r="C136" i="2"/>
  <c r="C54" i="2"/>
  <c r="C55" i="2" s="1"/>
  <c r="C96" i="2" s="1"/>
  <c r="G640" i="1"/>
  <c r="J640" i="1" s="1"/>
  <c r="G652" i="1"/>
  <c r="J630" i="1"/>
  <c r="F542" i="1"/>
  <c r="C38" i="10"/>
  <c r="G55" i="2"/>
  <c r="G96" i="2" s="1"/>
  <c r="C11" i="10"/>
  <c r="G651" i="1"/>
  <c r="K588" i="1"/>
  <c r="G637" i="1" s="1"/>
  <c r="J637" i="1" s="1"/>
  <c r="E101" i="2"/>
  <c r="E107" i="2" s="1"/>
  <c r="E137" i="2" s="1"/>
  <c r="G639" i="1"/>
  <c r="C116" i="2"/>
  <c r="D15" i="13"/>
  <c r="C15" i="13" s="1"/>
  <c r="F652" i="1"/>
  <c r="I652" i="1" s="1"/>
  <c r="H637" i="1"/>
  <c r="C21" i="10"/>
  <c r="L203" i="1"/>
  <c r="L354" i="1"/>
  <c r="F651" i="1"/>
  <c r="H651" i="1"/>
  <c r="D119" i="2"/>
  <c r="D120" i="2" s="1"/>
  <c r="D137" i="2" s="1"/>
  <c r="D29" i="13"/>
  <c r="C29" i="13" s="1"/>
  <c r="J263" i="1"/>
  <c r="L519" i="1"/>
  <c r="G540" i="1"/>
  <c r="F31" i="13"/>
  <c r="F33" i="13" s="1"/>
  <c r="J330" i="1"/>
  <c r="J344" i="1" s="1"/>
  <c r="J607" i="1"/>
  <c r="C112" i="2"/>
  <c r="E8" i="13"/>
  <c r="C17" i="10"/>
  <c r="G330" i="1"/>
  <c r="G344" i="1" s="1"/>
  <c r="L426" i="1"/>
  <c r="G628" i="1" s="1"/>
  <c r="J628" i="1" s="1"/>
  <c r="G153" i="2"/>
  <c r="I185" i="1"/>
  <c r="G620" i="1" s="1"/>
  <c r="J620" i="1" s="1"/>
  <c r="F185" i="1"/>
  <c r="G617" i="1" s="1"/>
  <c r="J617" i="1" s="1"/>
  <c r="L534" i="1"/>
  <c r="J540" i="1"/>
  <c r="J542" i="1" s="1"/>
  <c r="E55" i="2"/>
  <c r="E96" i="2" s="1"/>
  <c r="F249" i="1"/>
  <c r="F263" i="1" s="1"/>
  <c r="C111" i="2"/>
  <c r="C16" i="10"/>
  <c r="D7" i="13"/>
  <c r="C7" i="13" s="1"/>
  <c r="H535" i="1"/>
  <c r="J631" i="1"/>
  <c r="C43" i="2"/>
  <c r="J43" i="1"/>
  <c r="G36" i="2"/>
  <c r="G42" i="2" s="1"/>
  <c r="G43" i="2" s="1"/>
  <c r="I653" i="1"/>
  <c r="L400" i="1"/>
  <c r="C130" i="2"/>
  <c r="C133" i="2" s="1"/>
  <c r="J610" i="1"/>
  <c r="K595" i="1"/>
  <c r="G638" i="1" s="1"/>
  <c r="D43" i="2"/>
  <c r="H650" i="1"/>
  <c r="H654" i="1" s="1"/>
  <c r="H534" i="1"/>
  <c r="H282" i="1"/>
  <c r="H330" i="1" s="1"/>
  <c r="H344" i="1" s="1"/>
  <c r="C103" i="2"/>
  <c r="C53" i="2"/>
  <c r="K539" i="1"/>
  <c r="L527" i="1"/>
  <c r="L287" i="1"/>
  <c r="L301" i="1" s="1"/>
  <c r="L269" i="1"/>
  <c r="E102" i="2" s="1"/>
  <c r="H221" i="1"/>
  <c r="H249" i="1" s="1"/>
  <c r="H263" i="1" s="1"/>
  <c r="D5" i="13"/>
  <c r="K490" i="1"/>
  <c r="C26" i="10"/>
  <c r="H588" i="1"/>
  <c r="H639" i="1" s="1"/>
  <c r="I450" i="1"/>
  <c r="J33" i="1"/>
  <c r="C102" i="2"/>
  <c r="C19" i="10"/>
  <c r="G161" i="1"/>
  <c r="G185" i="1" s="1"/>
  <c r="G618" i="1" s="1"/>
  <c r="J618" i="1" s="1"/>
  <c r="J104" i="1"/>
  <c r="J185" i="1" s="1"/>
  <c r="C18" i="12"/>
  <c r="A22" i="12" s="1"/>
  <c r="L199" i="1"/>
  <c r="F524" i="1"/>
  <c r="F535" i="1" s="1"/>
  <c r="C101" i="2"/>
  <c r="C107" i="2" s="1"/>
  <c r="F77" i="2"/>
  <c r="F83" i="2" s="1"/>
  <c r="F96" i="2" s="1"/>
  <c r="C35" i="10"/>
  <c r="I44" i="1"/>
  <c r="H610" i="1" s="1"/>
  <c r="K282" i="1"/>
  <c r="I595" i="1"/>
  <c r="C106" i="2"/>
  <c r="J19" i="1"/>
  <c r="G611" i="1" s="1"/>
  <c r="C24" i="10"/>
  <c r="C13" i="10"/>
  <c r="C105" i="2"/>
  <c r="G662" i="1" l="1"/>
  <c r="C5" i="10" s="1"/>
  <c r="G657" i="1"/>
  <c r="J611" i="1"/>
  <c r="G31" i="13"/>
  <c r="G33" i="13" s="1"/>
  <c r="K330" i="1"/>
  <c r="K344" i="1" s="1"/>
  <c r="G616" i="1"/>
  <c r="J616" i="1" s="1"/>
  <c r="J44" i="1"/>
  <c r="H611" i="1" s="1"/>
  <c r="J639" i="1"/>
  <c r="C5" i="13"/>
  <c r="C39" i="10"/>
  <c r="I651" i="1"/>
  <c r="C10" i="10"/>
  <c r="L249" i="1"/>
  <c r="L263" i="1" s="1"/>
  <c r="G622" i="1" s="1"/>
  <c r="J622" i="1" s="1"/>
  <c r="L529" i="1"/>
  <c r="L535" i="1" s="1"/>
  <c r="I540" i="1"/>
  <c r="I542" i="1" s="1"/>
  <c r="E33" i="13"/>
  <c r="D35" i="13" s="1"/>
  <c r="C8" i="13"/>
  <c r="C36" i="10"/>
  <c r="G625" i="1"/>
  <c r="J625" i="1" s="1"/>
  <c r="C27" i="10"/>
  <c r="L282" i="1"/>
  <c r="H662" i="1"/>
  <c r="H657" i="1"/>
  <c r="D14" i="13"/>
  <c r="C14" i="13" s="1"/>
  <c r="C20" i="10"/>
  <c r="C115" i="2"/>
  <c r="C120" i="2" s="1"/>
  <c r="C137" i="2" s="1"/>
  <c r="K540" i="1"/>
  <c r="K542" i="1" s="1"/>
  <c r="G542" i="1"/>
  <c r="G636" i="1"/>
  <c r="G621" i="1"/>
  <c r="J621" i="1" s="1"/>
  <c r="G627" i="1"/>
  <c r="J627" i="1" s="1"/>
  <c r="H636" i="1"/>
  <c r="H638" i="1"/>
  <c r="J638" i="1" s="1"/>
  <c r="J636" i="1" l="1"/>
  <c r="D31" i="13"/>
  <c r="C31" i="13" s="1"/>
  <c r="L330" i="1"/>
  <c r="L344" i="1" s="1"/>
  <c r="G623" i="1" s="1"/>
  <c r="D39" i="10"/>
  <c r="D27" i="10"/>
  <c r="F650" i="1"/>
  <c r="C28" i="10"/>
  <c r="D10" i="10" s="1"/>
  <c r="C41" i="10"/>
  <c r="D20" i="10"/>
  <c r="D33" i="13" l="1"/>
  <c r="D36" i="13" s="1"/>
  <c r="D40" i="10"/>
  <c r="D37" i="10"/>
  <c r="D35" i="10"/>
  <c r="D38" i="10"/>
  <c r="D25" i="10"/>
  <c r="D22" i="10"/>
  <c r="C30" i="10"/>
  <c r="D12" i="10"/>
  <c r="D18" i="10"/>
  <c r="D23" i="10"/>
  <c r="D16" i="10"/>
  <c r="D17" i="10"/>
  <c r="D13" i="10"/>
  <c r="D15" i="10"/>
  <c r="D21" i="10"/>
  <c r="D19" i="10"/>
  <c r="D11" i="10"/>
  <c r="D28" i="10" s="1"/>
  <c r="D24" i="10"/>
  <c r="D26" i="10"/>
  <c r="I650" i="1"/>
  <c r="I654" i="1" s="1"/>
  <c r="F654" i="1"/>
  <c r="D36" i="10"/>
  <c r="J623" i="1"/>
  <c r="H646" i="1"/>
  <c r="F662" i="1" l="1"/>
  <c r="C4" i="10" s="1"/>
  <c r="F657" i="1"/>
  <c r="D41" i="10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E01F596-36F7-4152-B5DA-5E3CB82725BB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5D5D5F1-AEED-4F25-8CDD-FB59D407FFD9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E293700-0E0D-465B-8F84-B089DA5754D9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985A59E2-7584-4648-9196-8D2DEE54B2CA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EEB2324D-85AE-483C-B093-91EA38733A0F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4820E22-C93C-41EE-9181-1BEE2935656C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ED0C5BA8-4C95-43C4-A40A-4ADCAA01EA2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FEDA05A4-A090-489D-871F-919FDB6F971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85FB3D3D-3381-4DCF-BB90-096F46A7901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7306D328-FF3F-4965-9987-8EB6CE0860C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A26B7CD-F479-4643-A17B-A161B7F4801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A7F98A5C-DAF2-497F-A680-245A201CA348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<sst xmlns="http://schemas.openxmlformats.org/spreadsheetml/2006/main" count="3862" uniqueCount="899">
  <si>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</si>
  <si>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</si>
  <si>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</si>
  <si>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</si>
  <si>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</si>
  <si>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</si>
  <si>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</si>
  <si>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</si>
  <si>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</si>
  <si>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</si>
  <si>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</si>
  <si>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</si>
  <si>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</si>
  <si>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</si>
  <si>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</si>
  <si>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</si>
  <si>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</si>
  <si>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</si>
  <si>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</si>
  <si>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</si>
  <si>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</si>
  <si>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</si>
  <si>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</si>
  <si>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</si>
  <si>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</si>
  <si>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</si>
  <si>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</si>
  <si>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</si>
  <si>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</si>
  <si>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</si>
  <si>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</si>
  <si>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</si>
  <si>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</si>
  <si>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</si>
  <si>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</si>
  <si>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</si>
  <si>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</si>
  <si>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</si>
  <si>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</si>
  <si>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</si>
  <si>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</si>
  <si>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</si>
  <si>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</si>
  <si>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</si>
  <si>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</si>
  <si>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</si>
  <si>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</si>
  <si>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</si>
  <si>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</si>
  <si>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</si>
  <si>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</si>
  <si>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</si>
  <si>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</si>
  <si>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</si>
  <si>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</si>
  <si>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</si>
  <si>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</si>
  <si>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</si>
  <si>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</si>
  <si>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</si>
  <si>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</si>
  <si>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</si>
  <si>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</si>
  <si>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</si>
  <si>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</si>
  <si>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</si>
  <si>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</si>
  <si>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</si>
  <si>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</si>
  <si>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</si>
  <si>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</si>
  <si>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</si>
  <si>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</si>
  <si>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</si>
  <si>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</si>
  <si>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</si>
  <si>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</si>
  <si>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</si>
  <si>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</si>
  <si>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</si>
  <si>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</si>
  <si>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</si>
  <si>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</si>
  <si>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</si>
  <si>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</si>
  <si>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</si>
  <si>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</si>
  <si>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</si>
  <si>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</si>
  <si>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</si>
  <si>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</si>
  <si>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</si>
  <si>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</si>
  <si>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</si>
  <si>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</si>
  <si>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</si>
  <si>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</si>
  <si>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</si>
  <si>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</si>
  <si>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</si>
  <si>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</si>
  <si>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</si>
  <si>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</si>
  <si>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</si>
  <si>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</si>
  <si>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</si>
  <si>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</si>
  <si>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</si>
  <si>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</si>
  <si>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</si>
  <si>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</si>
  <si>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</si>
  <si>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</si>
  <si>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</si>
  <si>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</si>
  <si>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</si>
  <si>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</si>
  <si>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</si>
  <si>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</si>
  <si>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</si>
  <si>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</si>
  <si>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</si>
  <si>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</si>
  <si>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</si>
  <si>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</si>
  <si>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</si>
  <si>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</si>
  <si>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</si>
  <si>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</si>
  <si>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</si>
  <si>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</si>
  <si>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</si>
  <si>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</si>
  <si>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</si>
  <si>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</si>
  <si>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</si>
  <si>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</si>
  <si>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</si>
  <si>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</si>
  <si>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</si>
  <si>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</si>
  <si>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</si>
  <si>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</si>
  <si>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</si>
  <si>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</si>
  <si>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</si>
  <si>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</si>
  <si>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</si>
  <si>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</si>
  <si>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</si>
  <si>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</si>
  <si>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</si>
  <si>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</si>
  <si>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</si>
  <si>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</si>
  <si>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</si>
  <si>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</si>
  <si>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</si>
  <si>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</si>
  <si>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</si>
  <si>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</si>
  <si>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</si>
  <si>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</si>
  <si>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</si>
  <si>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</si>
  <si>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</si>
  <si>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</si>
  <si>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</si>
  <si>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</si>
  <si>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</si>
  <si>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</si>
  <si>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</si>
  <si>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</si>
  <si>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</si>
  <si>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</si>
  <si>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</si>
  <si>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</si>
  <si>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</si>
  <si>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</si>
  <si>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</si>
  <si>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</si>
  <si>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</si>
  <si>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</si>
  <si>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</si>
  <si>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</si>
  <si>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</si>
  <si>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</si>
  <si>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</si>
  <si>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</si>
  <si>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</si>
  <si>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</si>
  <si>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</si>
  <si>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</si>
  <si>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</si>
  <si>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</si>
  <si>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</si>
  <si>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</si>
  <si>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</si>
  <si>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</si>
  <si>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</si>
  <si>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</si>
  <si>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</si>
  <si>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</si>
  <si>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</si>
  <si>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</si>
  <si>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</si>
  <si>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</si>
  <si>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</si>
  <si>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</si>
  <si>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</si>
  <si>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</si>
  <si>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</si>
  <si>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</si>
  <si>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</si>
  <si>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</si>
  <si>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</si>
  <si>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</si>
  <si>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</si>
  <si>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</si>
  <si>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</si>
  <si>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</si>
  <si>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</si>
  <si>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</si>
  <si>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</si>
  <si>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</si>
  <si>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</si>
  <si>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</si>
  <si>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</si>
  <si>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</si>
  <si>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</si>
  <si>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</si>
  <si>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</si>
  <si>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</si>
  <si>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</si>
  <si>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</si>
  <si>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</si>
  <si>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</si>
  <si>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</si>
  <si>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</si>
  <si>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</si>
  <si>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</si>
  <si>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</si>
  <si>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</si>
  <si>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</si>
  <si>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</si>
  <si>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</si>
  <si>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</si>
  <si>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</si>
  <si>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</si>
  <si>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</si>
  <si>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</si>
  <si>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</si>
  <si>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</si>
  <si>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</si>
  <si>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</si>
  <si>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</si>
  <si>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</si>
  <si>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</si>
  <si>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</si>
  <si>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</si>
  <si>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</si>
  <si>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</si>
  <si>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</si>
  <si>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</si>
  <si>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</si>
  <si>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</si>
  <si>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</si>
  <si>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</si>
  <si>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</si>
  <si>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</si>
  <si>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</si>
  <si>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</si>
  <si>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</si>
  <si>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</si>
  <si>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</si>
  <si>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</si>
  <si>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</si>
  <si>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</si>
  <si>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</si>
  <si>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</si>
  <si>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</si>
  <si>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</si>
  <si>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</si>
  <si>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</si>
  <si>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</si>
  <si>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</si>
  <si>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</si>
  <si>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</si>
  <si>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</si>
  <si>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</si>
  <si>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</si>
  <si>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</si>
  <si>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</si>
  <si>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</si>
  <si>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</si>
  <si>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</si>
  <si>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</si>
  <si>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</si>
  <si>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</si>
  <si>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</si>
  <si>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</si>
  <si>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</si>
  <si>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</si>
  <si>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</si>
  <si>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</si>
  <si>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</si>
  <si>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</si>
  <si>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</si>
  <si>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</si>
  <si>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</si>
  <si>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</si>
  <si>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</si>
  <si>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</si>
  <si>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</si>
  <si>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</si>
  <si>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</si>
  <si>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</si>
  <si>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</si>
  <si>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</si>
  <si>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</si>
  <si>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</si>
  <si>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</si>
  <si>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</si>
  <si>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</si>
  <si>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</si>
  <si>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</si>
  <si>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</si>
  <si>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</si>
  <si>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</si>
  <si>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</si>
  <si>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</si>
  <si>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</si>
  <si>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</si>
  <si>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</si>
  <si>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</si>
  <si>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</si>
  <si>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</si>
  <si>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</si>
  <si>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</si>
  <si>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</si>
  <si>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</si>
  <si>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</si>
  <si>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</si>
  <si>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</si>
  <si>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</si>
  <si>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</si>
  <si>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</si>
  <si>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</si>
  <si>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</si>
  <si>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</si>
  <si>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</si>
  <si>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</si>
  <si>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</si>
  <si>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</si>
  <si>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</si>
  <si>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</si>
  <si>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</si>
  <si>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</si>
  <si>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</si>
  <si>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</si>
  <si>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</si>
  <si>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</si>
  <si>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</si>
  <si>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</si>
  <si>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</si>
  <si>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</si>
  <si>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</si>
  <si>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</si>
  <si>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</si>
  <si>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</si>
  <si>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</si>
  <si>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</si>
  <si>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</si>
  <si>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</si>
  <si>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</si>
  <si>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</si>
  <si>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</si>
  <si>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</si>
  <si>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</si>
  <si>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</si>
  <si>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</si>
  <si>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</si>
  <si>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</si>
  <si>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</si>
  <si>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</si>
  <si>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</si>
  <si>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</si>
  <si>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</si>
  <si>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</si>
  <si>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</si>
  <si>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</si>
  <si>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</si>
  <si>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</si>
  <si>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</si>
  <si>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</si>
  <si>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</si>
  <si>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</si>
  <si>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</si>
  <si>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</si>
  <si>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</si>
  <si>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</si>
  <si>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</si>
  <si>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</si>
  <si>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</si>
  <si>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</si>
  <si>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</si>
  <si>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</si>
  <si>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</si>
  <si>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</si>
  <si>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</si>
  <si>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</si>
  <si>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</si>
  <si>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</si>
  <si>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</si>
  <si>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</si>
  <si>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</si>
  <si>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</si>
  <si>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</si>
  <si>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</si>
  <si>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</si>
  <si>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</si>
  <si>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</si>
  <si>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</si>
  <si>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</si>
  <si>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</si>
  <si>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</si>
  <si>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</si>
  <si>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</si>
  <si>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</si>
  <si>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</si>
  <si>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</si>
  <si>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</si>
  <si>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</si>
  <si>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</si>
  <si>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</si>
  <si>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</si>
  <si>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</si>
  <si>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</si>
  <si>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</si>
  <si>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</si>
  <si>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</si>
  <si>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</si>
  <si>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</si>
  <si>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</si>
  <si>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</si>
  <si>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</si>
  <si>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</si>
  <si>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</si>
  <si>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</si>
  <si>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</si>
  <si>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</si>
  <si>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</si>
  <si>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</si>
  <si>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</si>
  <si>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</si>
  <si>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</si>
  <si>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</si>
  <si>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</si>
  <si>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</si>
  <si>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</si>
  <si>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</si>
  <si>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</si>
  <si>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</si>
  <si>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</si>
  <si>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</si>
  <si>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</si>
  <si>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</si>
  <si>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</si>
  <si>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</si>
  <si>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</si>
  <si>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</si>
  <si>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</si>
  <si>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</si>
  <si>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</si>
  <si>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</si>
  <si>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</si>
  <si>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</si>
  <si>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</si>
  <si>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</si>
  <si>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</si>
  <si>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</si>
  <si>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</si>
  <si>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</si>
  <si>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</si>
  <si>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</si>
  <si>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</si>
  <si>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</si>
  <si>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</si>
  <si>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</si>
  <si>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</si>
  <si>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</si>
  <si>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</si>
  <si>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</si>
  <si>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</si>
  <si>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</si>
  <si>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</si>
  <si>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</si>
  <si>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</si>
  <si>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</si>
  <si>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</si>
  <si>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</si>
  <si>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</si>
  <si>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</si>
  <si>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</si>
  <si>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</si>
  <si>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</si>
  <si>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</si>
  <si>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</si>
  <si>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</si>
  <si>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</si>
  <si>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</si>
  <si>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</si>
  <si>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</si>
  <si>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</si>
  <si>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</si>
  <si>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</si>
  <si>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</si>
  <si>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</si>
  <si>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</si>
  <si>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</si>
  <si>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</si>
  <si>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</si>
  <si>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</si>
  <si>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</si>
  <si>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</si>
  <si>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</si>
  <si>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</si>
  <si>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</si>
  <si>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</si>
  <si>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</si>
  <si>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</si>
  <si>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</si>
  <si>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</si>
  <si>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</si>
  <si>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</si>
  <si>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</si>
  <si>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</si>
  <si>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</si>
  <si>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</si>
  <si>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</si>
  <si>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</si>
  <si>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</si>
  <si>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</si>
  <si>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</si>
  <si>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</si>
  <si>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</si>
  <si>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</si>
  <si>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</si>
  <si>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</si>
  <si>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</si>
  <si>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</si>
  <si>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</si>
  <si>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</si>
  <si>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</si>
  <si>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</si>
  <si>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</si>
  <si>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</si>
  <si>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</si>
  <si>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</si>
  <si>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</si>
  <si>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</si>
  <si>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</si>
  <si>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</si>
  <si>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</si>
  <si>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</si>
  <si>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</si>
  <si>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</si>
  <si>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</si>
  <si>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</si>
  <si>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</si>
  <si>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</si>
  <si>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</si>
  <si>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</si>
  <si>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</si>
  <si>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</si>
  <si>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</si>
  <si>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</si>
  <si>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</si>
  <si>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</si>
  <si>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</si>
  <si>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</si>
  <si>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</si>
  <si>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</si>
  <si>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</si>
  <si>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</si>
  <si>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</si>
  <si>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</si>
  <si>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</si>
  <si>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</si>
  <si>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</si>
  <si>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</si>
  <si>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</si>
  <si>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</si>
  <si>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</si>
  <si>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</si>
  <si>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</si>
  <si>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</si>
  <si>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</si>
  <si>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</si>
  <si>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</si>
  <si>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</si>
  <si>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</si>
  <si>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</si>
  <si>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</si>
  <si>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</si>
  <si>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</si>
  <si>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</si>
  <si>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</si>
  <si>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</si>
  <si>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</si>
  <si>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</si>
  <si>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</si>
  <si>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</si>
  <si>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</si>
  <si>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</si>
  <si>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</si>
  <si>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</si>
  <si>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</si>
  <si>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</si>
  <si>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</si>
  <si>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</si>
  <si>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</si>
  <si>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</si>
  <si>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</si>
  <si>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</si>
  <si>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</si>
  <si>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</si>
  <si>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</si>
  <si>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</si>
  <si>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</si>
  <si>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</si>
  <si>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</si>
  <si>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</si>
  <si>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</si>
  <si>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</si>
  <si>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</si>
  <si>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</si>
  <si>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</si>
  <si>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</si>
  <si>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</si>
  <si>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</si>
  <si>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</si>
  <si>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</si>
  <si>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</si>
  <si>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</si>
  <si>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</si>
  <si>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</si>
  <si>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</si>
  <si>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</si>
  <si>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</si>
  <si>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</si>
  <si>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</si>
  <si>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</si>
  <si>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</si>
  <si>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</si>
  <si>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</si>
  <si>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</si>
  <si>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</si>
  <si>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</si>
  <si>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</si>
  <si>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</si>
  <si>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</si>
  <si>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</si>
  <si>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</si>
  <si>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</si>
  <si>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</si>
  <si>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</si>
  <si>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</si>
  <si>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</si>
  <si>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</si>
  <si>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</si>
  <si>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</si>
  <si>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</si>
  <si>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</si>
  <si>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</si>
  <si>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</si>
  <si>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</si>
  <si>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</si>
  <si>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</si>
  <si>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</si>
  <si>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</si>
  <si>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</si>
  <si>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</si>
  <si>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</si>
  <si>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</si>
  <si>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</si>
  <si>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</si>
  <si>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</si>
  <si>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</si>
  <si>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</si>
  <si>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</si>
  <si>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</si>
  <si>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</si>
  <si>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</si>
  <si>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</si>
  <si>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</si>
  <si>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</si>
  <si>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</si>
  <si>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</si>
  <si>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</si>
  <si>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</si>
  <si>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</si>
  <si>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</si>
  <si>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</si>
  <si>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</si>
  <si>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</si>
  <si>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</si>
  <si>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</si>
  <si>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</si>
  <si>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</si>
  <si>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</si>
  <si>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</si>
  <si>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</si>
  <si>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</si>
  <si>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</si>
  <si>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</si>
  <si>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</si>
  <si>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</si>
  <si>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</si>
  <si>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</si>
  <si>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</si>
  <si>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</si>
  <si>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</si>
  <si>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</si>
  <si>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</si>
  <si>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</si>
  <si>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</si>
  <si>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</si>
  <si>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</si>
  <si>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</si>
  <si>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</si>
  <si>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</si>
  <si>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</si>
  <si>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</si>
  <si>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</si>
  <si>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</si>
  <si>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</si>
  <si>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</si>
  <si>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</si>
  <si>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</si>
  <si>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</si>
  <si>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</si>
  <si>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</si>
  <si>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</si>
  <si>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</si>
  <si>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</si>
  <si>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</si>
  <si>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</si>
  <si>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</si>
  <si>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</si>
  <si>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</si>
  <si>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</si>
  <si>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</si>
  <si>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</si>
  <si>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</si>
  <si>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</si>
  <si>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</si>
  <si>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</si>
  <si>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</si>
  <si>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</si>
  <si>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</si>
  <si>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</si>
  <si>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</si>
  <si>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</si>
  <si>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</si>
  <si>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</si>
  <si>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</si>
  <si>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</si>
  <si>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</si>
  <si>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</si>
  <si>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</si>
  <si>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</si>
  <si>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</si>
  <si>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</si>
  <si>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</si>
  <si>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</si>
  <si>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</si>
  <si>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</si>
  <si>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</si>
  <si>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</si>
  <si>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</si>
  <si>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</si>
  <si>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</si>
  <si>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</si>
  <si>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</si>
  <si>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</si>
  <si>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</si>
  <si>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</si>
  <si>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</si>
  <si>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</si>
  <si>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</si>
  <si>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</si>
  <si>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</si>
  <si>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</si>
  <si>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</si>
  <si>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</si>
  <si>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</si>
  <si>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</si>
  <si>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</si>
  <si>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</si>
  <si>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</si>
  <si>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</si>
  <si>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</si>
  <si>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</si>
  <si>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</si>
  <si>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</si>
  <si>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</si>
  <si>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</si>
  <si>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</si>
  <si>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</si>
  <si>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</si>
  <si>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</si>
  <si>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</si>
  <si>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</si>
  <si>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</si>
  <si>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</si>
  <si>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</si>
  <si>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</si>
  <si>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</si>
  <si>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</si>
  <si>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</si>
  <si>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</si>
  <si>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</si>
  <si>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</si>
  <si>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</si>
  <si>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</si>
  <si>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</si>
  <si>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</si>
  <si>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</si>
  <si>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</si>
  <si>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</si>
  <si>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</si>
  <si>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</si>
  <si>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</si>
  <si>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</si>
  <si>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</si>
  <si>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</si>
  <si>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</si>
  <si>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</si>
  <si>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</si>
  <si>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</si>
  <si>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</si>
  <si>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</si>
  <si>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</si>
  <si>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</si>
  <si>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</si>
  <si>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</si>
  <si>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</si>
  <si>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</si>
  <si>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</si>
  <si>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</si>
  <si>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</si>
  <si>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</si>
  <si>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</si>
  <si>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</si>
  <si>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</si>
  <si>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</si>
  <si>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</si>
  <si>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</si>
  <si>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</si>
  <si>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</si>
  <si>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</si>
  <si>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</si>
  <si>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</si>
  <si>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</si>
  <si>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</si>
  <si>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</si>
  <si>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</si>
  <si>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</si>
  <si>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</si>
  <si>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</si>
  <si>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</si>
  <si>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</si>
  <si>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</si>
  <si>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</si>
  <si>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</si>
  <si>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</si>
  <si>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</si>
  <si>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</si>
  <si>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</si>
  <si>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</si>
  <si>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</si>
  <si>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</si>
  <si>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</si>
  <si>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</si>
  <si>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</si>
  <si>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</si>
  <si>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</si>
  <si>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</si>
  <si>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</si>
  <si>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</si>
  <si>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</si>
  <si>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</si>
  <si>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</si>
  <si>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 xml:space="preserve">Food Service - $36631.40 is the Fresh Fruits &amp; Vegetables Grant </t>
  </si>
  <si>
    <t>Food Service - $5,807.88 is ARRA Equipment Grant</t>
  </si>
  <si>
    <t>Food Servcie - $18,220.96 = USDA Commodities</t>
  </si>
  <si>
    <t xml:space="preserve">Capital Projects - $1,824,648 = QZAB (Qualified Zone Academy Bond) </t>
  </si>
  <si>
    <t>Seabrook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</si>
</sst>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1B0D-BD60-42E8-9F88-6D8FF852C1CC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H655" sqref="H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898</v>
      </c>
      <c r="B2" s="21">
        <v>485</v>
      </c>
      <c r="C2" s="21">
        <v>485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547635.78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454.31</v>
      </c>
      <c r="G10" s="18"/>
      <c r="H10" s="18"/>
      <c r="I10" s="18">
        <v>1824648</v>
      </c>
      <c r="J10" s="67">
        <f>SUM(I432)</f>
        <v>60777.3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88700.2</v>
      </c>
      <c r="G12" s="18">
        <v>50064.959999999999</v>
      </c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4598.78</v>
      </c>
      <c r="G13" s="18">
        <v>21831.67</v>
      </c>
      <c r="H13" s="18">
        <v>8440.84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99.49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641488.56000000006</v>
      </c>
      <c r="G19" s="41">
        <f>SUM(G9:G18)</f>
        <v>71896.63</v>
      </c>
      <c r="H19" s="41">
        <f>SUM(H9:H18)</f>
        <v>8440.84</v>
      </c>
      <c r="I19" s="41">
        <f>SUM(I9:I18)</f>
        <v>1824648</v>
      </c>
      <c r="J19" s="41">
        <f>SUM(J9:J18)</f>
        <v>60777.3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50064.959999999999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97093.43</v>
      </c>
      <c r="G25" s="18">
        <v>518.45000000000005</v>
      </c>
      <c r="H25" s="18">
        <v>8440.84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8381.31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155539.69999999998</v>
      </c>
      <c r="G33" s="41">
        <f>SUM(G23:G32)</f>
        <v>518.45000000000005</v>
      </c>
      <c r="H33" s="41">
        <f>SUM(H23:H32)</f>
        <v>8440.84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118837.02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>
        <v>45000</v>
      </c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3759.57</v>
      </c>
      <c r="G41" s="18">
        <v>71378.179999999993</v>
      </c>
      <c r="H41" s="18"/>
      <c r="I41" s="18">
        <v>1824648</v>
      </c>
      <c r="J41" s="13">
        <f>SUM(I449)</f>
        <v>60777.3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318352.27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485948.86000000004</v>
      </c>
      <c r="G43" s="41">
        <f>SUM(G35:G42)</f>
        <v>71378.179999999993</v>
      </c>
      <c r="H43" s="41">
        <f>SUM(H35:H42)</f>
        <v>0</v>
      </c>
      <c r="I43" s="41">
        <f>SUM(I35:I42)</f>
        <v>1824648</v>
      </c>
      <c r="J43" s="41">
        <f>SUM(J35:J42)</f>
        <v>60777.3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641488.56000000006</v>
      </c>
      <c r="G44" s="41">
        <f>G43+G33</f>
        <v>71896.62999999999</v>
      </c>
      <c r="H44" s="41">
        <f>H43+H33</f>
        <v>8440.84</v>
      </c>
      <c r="I44" s="41">
        <f>I43+I33</f>
        <v>1824648</v>
      </c>
      <c r="J44" s="41">
        <f>J43+J33</f>
        <v>60777.3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7133562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7133562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15778.47</v>
      </c>
      <c r="G88" s="18"/>
      <c r="H88" s="18"/>
      <c r="I88" s="18"/>
      <c r="J88" s="18">
        <v>199.51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85846.47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7365.72+41.94</f>
        <v>7407.66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23186.129999999997</v>
      </c>
      <c r="G103" s="41">
        <f>SUM(G88:G102)</f>
        <v>85846.47</v>
      </c>
      <c r="H103" s="41">
        <f>SUM(H88:H102)</f>
        <v>0</v>
      </c>
      <c r="I103" s="41">
        <f>SUM(I88:I102)</f>
        <v>0</v>
      </c>
      <c r="J103" s="41">
        <f>SUM(J88:J102)</f>
        <v>199.51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7156748.1299999999</v>
      </c>
      <c r="G104" s="41">
        <f>G52+G103</f>
        <v>85846.47</v>
      </c>
      <c r="H104" s="41">
        <f>H52+H71+H86+H103</f>
        <v>0</v>
      </c>
      <c r="I104" s="41">
        <f>I52+I103</f>
        <v>0</v>
      </c>
      <c r="J104" s="41">
        <f>J52+J103</f>
        <v>199.51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915328.96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2187945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351184.04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3454458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/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/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5112.67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0</v>
      </c>
      <c r="G128" s="41">
        <f>SUM(G115:G127)</f>
        <v>5112.67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3454458</v>
      </c>
      <c r="G132" s="41">
        <f>G113+SUM(G128:G129)</f>
        <v>5112.67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>
        <v>36503.660000000003</v>
      </c>
      <c r="H138" s="18"/>
      <c r="I138" s="18">
        <v>1824648</v>
      </c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36503.660000000003</v>
      </c>
      <c r="H139" s="41">
        <f>SUM(H137:H138)</f>
        <v>0</v>
      </c>
      <c r="I139" s="41">
        <f>SUM(I137:I138)</f>
        <v>1824648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514092.09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46838.91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170326.53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241969.05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56095.519999999997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5807.88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56095.519999999997</v>
      </c>
      <c r="G154" s="41">
        <f>SUM(G142:G153)</f>
        <v>176134.41</v>
      </c>
      <c r="H154" s="41">
        <f>SUM(H142:H153)</f>
        <v>802900.05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>
        <v>18220.96</v>
      </c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56095.519999999997</v>
      </c>
      <c r="G161" s="41">
        <f>G139+G154+SUM(G155:G160)</f>
        <v>230859.03</v>
      </c>
      <c r="H161" s="41">
        <f>H139+H154+SUM(H155:H160)</f>
        <v>802900.05</v>
      </c>
      <c r="I161" s="41">
        <f>I139+I154+SUM(I155:I160)</f>
        <v>1824648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10667301.649999999</v>
      </c>
      <c r="G185" s="47">
        <f>G104+G132+G161+G184</f>
        <v>321818.17</v>
      </c>
      <c r="H185" s="47">
        <f>H104+H132+H161+H184</f>
        <v>802900.05</v>
      </c>
      <c r="I185" s="47">
        <f>I104+I132+I161+I184</f>
        <v>1824648</v>
      </c>
      <c r="J185" s="47">
        <f>J104+J132+J184</f>
        <v>20199.509999999998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2101893.9300000002</v>
      </c>
      <c r="G189" s="18">
        <f>670880.36+1340+0.22</f>
        <v>672220.58</v>
      </c>
      <c r="H189" s="18">
        <v>15959.03</v>
      </c>
      <c r="I189" s="18">
        <v>74443.61</v>
      </c>
      <c r="J189" s="18">
        <v>11722.88</v>
      </c>
      <c r="K189" s="18">
        <v>1882.78</v>
      </c>
      <c r="L189" s="19">
        <f>SUM(F189:K189)</f>
        <v>2878122.8099999996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1226677.13*55%</f>
        <v>674672.42149999994</v>
      </c>
      <c r="G190" s="18">
        <f>159334.73+500</f>
        <v>159834.73000000001</v>
      </c>
      <c r="H190" s="18">
        <f>171413.17*55%</f>
        <v>94277.243500000011</v>
      </c>
      <c r="I190" s="18">
        <f>4426.92*55%</f>
        <v>2434.806</v>
      </c>
      <c r="J190" s="18">
        <v>1704.92</v>
      </c>
      <c r="K190" s="18">
        <v>426</v>
      </c>
      <c r="L190" s="19">
        <f>SUM(F190:K190)</f>
        <v>933350.12099999993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21510.16</v>
      </c>
      <c r="G192" s="18">
        <v>1778.89</v>
      </c>
      <c r="H192" s="18">
        <v>3450</v>
      </c>
      <c r="I192" s="18"/>
      <c r="J192" s="18"/>
      <c r="K192" s="18"/>
      <c r="L192" s="19">
        <f>SUM(F192:K192)</f>
        <v>26739.05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60853+65882.96+91137.88</f>
        <v>217873.84000000003</v>
      </c>
      <c r="G194" s="18">
        <v>55295.93</v>
      </c>
      <c r="H194" s="18">
        <f>600</f>
        <v>600</v>
      </c>
      <c r="I194" s="18">
        <v>992.98</v>
      </c>
      <c r="J194" s="18"/>
      <c r="K194" s="18"/>
      <c r="L194" s="19">
        <f t="shared" ref="L194:L200" si="0">SUM(F194:K194)</f>
        <v>274762.75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72590.36+107200.54</f>
        <v>179790.9</v>
      </c>
      <c r="G195" s="18">
        <f>18039+57318.45</f>
        <v>75357.45</v>
      </c>
      <c r="H195" s="18">
        <f>549+9543.56+46522.56</f>
        <v>56615.119999999995</v>
      </c>
      <c r="I195" s="18">
        <f>10274.93+21289.94</f>
        <v>31564.87</v>
      </c>
      <c r="J195" s="18">
        <f>58400.38*55%</f>
        <v>32120.209000000003</v>
      </c>
      <c r="K195" s="18"/>
      <c r="L195" s="19">
        <f t="shared" si="0"/>
        <v>375448.549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28154.5*55%</f>
        <v>15484.975</v>
      </c>
      <c r="G196" s="18">
        <v>1280.6099999999999</v>
      </c>
      <c r="H196" s="18">
        <f>SUM(59022.49+323345)*55%</f>
        <v>210302.1195</v>
      </c>
      <c r="I196" s="18"/>
      <c r="J196" s="18"/>
      <c r="K196" s="18">
        <f>8600.21*55%</f>
        <v>4730.1154999999999</v>
      </c>
      <c r="L196" s="19">
        <f t="shared" si="0"/>
        <v>231797.82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189549.19</v>
      </c>
      <c r="G197" s="18">
        <f>45469.91+2000</f>
        <v>47469.91</v>
      </c>
      <c r="H197" s="18">
        <v>11623.64</v>
      </c>
      <c r="I197" s="18">
        <v>1585.33</v>
      </c>
      <c r="J197" s="18"/>
      <c r="K197" s="18">
        <v>1092.94</v>
      </c>
      <c r="L197" s="19">
        <f t="shared" si="0"/>
        <v>251321.00999999998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378217.68*55%</f>
        <v>208019.72400000002</v>
      </c>
      <c r="G199" s="18">
        <v>92058.5</v>
      </c>
      <c r="H199" s="18">
        <f>SUM(289671.65+14800+1879.47)*55%</f>
        <v>168493.11600000001</v>
      </c>
      <c r="I199" s="18">
        <f>SUM(256436.59+3614.7)*55%</f>
        <v>143028.20950000003</v>
      </c>
      <c r="J199" s="18">
        <f>SUM(28490.46+7100.55)*55%</f>
        <v>19575.055500000002</v>
      </c>
      <c r="K199" s="18"/>
      <c r="L199" s="19">
        <f t="shared" si="0"/>
        <v>631174.6050000001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320738.61+8397.7</f>
        <v>329136.31</v>
      </c>
      <c r="I200" s="18"/>
      <c r="J200" s="18"/>
      <c r="K200" s="18"/>
      <c r="L200" s="19">
        <f t="shared" si="0"/>
        <v>329136.31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3608795.1404999997</v>
      </c>
      <c r="G203" s="41">
        <f t="shared" si="1"/>
        <v>1105296.6000000001</v>
      </c>
      <c r="H203" s="41">
        <f t="shared" si="1"/>
        <v>890456.57900000014</v>
      </c>
      <c r="I203" s="41">
        <f t="shared" si="1"/>
        <v>254049.80550000002</v>
      </c>
      <c r="J203" s="41">
        <f t="shared" si="1"/>
        <v>65123.064500000008</v>
      </c>
      <c r="K203" s="41">
        <f t="shared" si="1"/>
        <v>8131.8354999999992</v>
      </c>
      <c r="L203" s="41">
        <f t="shared" si="1"/>
        <v>5931853.0249999994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1566120.58</v>
      </c>
      <c r="G207" s="18">
        <f>495439.63+1340</f>
        <v>496779.63</v>
      </c>
      <c r="H207" s="18">
        <v>15509.38</v>
      </c>
      <c r="I207" s="18">
        <v>49839.040000000001</v>
      </c>
      <c r="J207" s="18">
        <v>5192.8100000000004</v>
      </c>
      <c r="K207" s="18"/>
      <c r="L207" s="19">
        <f>SUM(F207:K207)</f>
        <v>2133441.44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1226677.13*45%</f>
        <v>552004.70849999995</v>
      </c>
      <c r="G208" s="18">
        <f>130364.78+500</f>
        <v>130864.78</v>
      </c>
      <c r="H208" s="18">
        <f>171413.17*45%</f>
        <v>77135.926500000001</v>
      </c>
      <c r="I208" s="18">
        <f>4426.92*45%</f>
        <v>1992.114</v>
      </c>
      <c r="J208" s="18"/>
      <c r="K208" s="18"/>
      <c r="L208" s="19">
        <f>SUM(F208:K208)</f>
        <v>761997.52899999998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40895+17610</f>
        <v>58505</v>
      </c>
      <c r="G210" s="18">
        <v>4838.3599999999997</v>
      </c>
      <c r="H210" s="18">
        <v>2800</v>
      </c>
      <c r="I210" s="18">
        <v>3132.43</v>
      </c>
      <c r="J210" s="18">
        <v>11825.3</v>
      </c>
      <c r="K210" s="18"/>
      <c r="L210" s="19">
        <f>SUM(F210:K210)</f>
        <v>81101.09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72452.9+60190.96+74567.34</f>
        <v>207211.19999999998</v>
      </c>
      <c r="G212" s="18">
        <v>50017.279999999999</v>
      </c>
      <c r="H212" s="18">
        <f>175</f>
        <v>175</v>
      </c>
      <c r="I212" s="18">
        <v>914.97</v>
      </c>
      <c r="J212" s="18"/>
      <c r="K212" s="18"/>
      <c r="L212" s="19">
        <f t="shared" ref="L212:L218" si="2">SUM(F212:K212)</f>
        <v>258318.44999999998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45591.92+87709.52</f>
        <v>133301.44</v>
      </c>
      <c r="G213" s="18">
        <f>9270+44444.05</f>
        <v>53714.05</v>
      </c>
      <c r="H213" s="18">
        <f>600+11073.98+38063.9</f>
        <v>49737.880000000005</v>
      </c>
      <c r="I213" s="18">
        <f>10182.88+17419.03</f>
        <v>27601.909999999996</v>
      </c>
      <c r="J213" s="18">
        <f>58400.38*45%</f>
        <v>26280.170999999998</v>
      </c>
      <c r="K213" s="18"/>
      <c r="L213" s="19">
        <f t="shared" si="2"/>
        <v>290635.45099999994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28154.5*45%</f>
        <v>12669.525</v>
      </c>
      <c r="G214" s="18">
        <v>1047.77</v>
      </c>
      <c r="H214" s="18">
        <f>SUM(59022.49+323345)*45%</f>
        <v>172065.37049999999</v>
      </c>
      <c r="I214" s="18"/>
      <c r="J214" s="18"/>
      <c r="K214" s="18">
        <f>8600.21*45%</f>
        <v>3870.0944999999997</v>
      </c>
      <c r="L214" s="19">
        <f t="shared" si="2"/>
        <v>189652.76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163092.20000000001</v>
      </c>
      <c r="G215" s="18">
        <f>86219.22+2000</f>
        <v>88219.22</v>
      </c>
      <c r="H215" s="18">
        <v>9649.09</v>
      </c>
      <c r="I215" s="18">
        <v>4752.51</v>
      </c>
      <c r="J215" s="18"/>
      <c r="K215" s="18">
        <v>689</v>
      </c>
      <c r="L215" s="19">
        <f t="shared" si="2"/>
        <v>266402.02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378217.68*45%</f>
        <v>170197.95600000001</v>
      </c>
      <c r="G217" s="18">
        <v>74061.31</v>
      </c>
      <c r="H217" s="18">
        <f>SUM(289671.65+14800+1879.47)*45%</f>
        <v>137858.00400000002</v>
      </c>
      <c r="I217" s="18">
        <f>SUM(256436.59+3614.7)*45%+0.2</f>
        <v>117023.28050000001</v>
      </c>
      <c r="J217" s="18">
        <f>SUM(28490.46+7100.55)*45%</f>
        <v>16015.954500000002</v>
      </c>
      <c r="K217" s="18"/>
      <c r="L217" s="19">
        <f t="shared" si="2"/>
        <v>515156.505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262422.5+5838+4882</f>
        <v>273142.5</v>
      </c>
      <c r="I218" s="18"/>
      <c r="J218" s="18"/>
      <c r="K218" s="18"/>
      <c r="L218" s="19">
        <f t="shared" si="2"/>
        <v>273142.5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>
        <v>639</v>
      </c>
      <c r="L219" s="19">
        <f>SUM(F219:K219)</f>
        <v>639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2863102.6095000003</v>
      </c>
      <c r="G221" s="41">
        <f>SUM(G207:G220)</f>
        <v>899542.40000000014</v>
      </c>
      <c r="H221" s="41">
        <f>SUM(H207:H220)</f>
        <v>738073.15100000007</v>
      </c>
      <c r="I221" s="41">
        <f>SUM(I207:I220)</f>
        <v>205256.25450000001</v>
      </c>
      <c r="J221" s="41">
        <f>SUM(J207:J220)</f>
        <v>59314.235500000003</v>
      </c>
      <c r="K221" s="41">
        <f t="shared" si="3"/>
        <v>5198.0944999999992</v>
      </c>
      <c r="L221" s="41">
        <f t="shared" si="3"/>
        <v>4770486.7450000001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/>
      <c r="I225" s="18"/>
      <c r="J225" s="18"/>
      <c r="K225" s="18"/>
      <c r="L225" s="19">
        <f>SUM(F225:K225)</f>
        <v>0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/>
      <c r="I236" s="18"/>
      <c r="J236" s="18"/>
      <c r="K236" s="18"/>
      <c r="L236" s="19">
        <f t="shared" si="4"/>
        <v>0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0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0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204868.73</v>
      </c>
      <c r="I247" s="18"/>
      <c r="J247" s="18"/>
      <c r="K247" s="18"/>
      <c r="L247" s="19">
        <f t="shared" si="6"/>
        <v>204868.73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204868.73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204868.73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6471897.75</v>
      </c>
      <c r="G249" s="41">
        <f t="shared" si="8"/>
        <v>2004839.0000000002</v>
      </c>
      <c r="H249" s="41">
        <f t="shared" si="8"/>
        <v>1833398.4600000002</v>
      </c>
      <c r="I249" s="41">
        <f t="shared" si="8"/>
        <v>459306.06000000006</v>
      </c>
      <c r="J249" s="41">
        <f t="shared" si="8"/>
        <v>124437.30000000002</v>
      </c>
      <c r="K249" s="41">
        <f t="shared" si="8"/>
        <v>13329.929999999998</v>
      </c>
      <c r="L249" s="41">
        <f t="shared" si="8"/>
        <v>10907208.5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/>
      <c r="L252" s="19">
        <f>SUM(F252:K252)</f>
        <v>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/>
      <c r="L253" s="19">
        <f>SUM(F253:K253)</f>
        <v>0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20000</v>
      </c>
      <c r="L262" s="41">
        <f t="shared" si="9"/>
        <v>20000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6471897.75</v>
      </c>
      <c r="G263" s="42">
        <f t="shared" si="11"/>
        <v>2004839.0000000002</v>
      </c>
      <c r="H263" s="42">
        <f t="shared" si="11"/>
        <v>1833398.4600000002</v>
      </c>
      <c r="I263" s="42">
        <f t="shared" si="11"/>
        <v>459306.06000000006</v>
      </c>
      <c r="J263" s="42">
        <f t="shared" si="11"/>
        <v>124437.30000000002</v>
      </c>
      <c r="K263" s="42">
        <f t="shared" si="11"/>
        <v>33329.93</v>
      </c>
      <c r="L263" s="42">
        <f t="shared" si="11"/>
        <v>10927208.5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70391.92+126425.63+7420+2599.98+6212.41+9825+26007.44+15037</f>
        <v>263919.38</v>
      </c>
      <c r="G268" s="18">
        <f>10401.41+251.9+255.18+620.74+15431.15+4910.84+65.36+121.12+580.04+340.17+900.46+3887.34+86.48+228.91</f>
        <v>38081.1</v>
      </c>
      <c r="H268" s="18">
        <f>137+6440+809.88+1500+638+11700</f>
        <v>21224.880000000001</v>
      </c>
      <c r="I268" s="18">
        <f>10063+4603.92+83.59+5127.69+3158.37+1001.8</f>
        <v>24038.37</v>
      </c>
      <c r="J268" s="18">
        <f>1803.28+642.92+46071.21</f>
        <v>48517.409999999996</v>
      </c>
      <c r="K268" s="18"/>
      <c r="L268" s="19">
        <f>SUM(F268:K268)</f>
        <v>395781.13999999996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SUM(79349.08+18327.56+47302)*55%</f>
        <v>79738.252000000008</v>
      </c>
      <c r="G269" s="18">
        <f>SUM(15651.2+562.99+105.42+298.74+7189.82+4397.36+439.54+166.05+13376.18+573.1+75.3+184.51+3345.06+3543+212.86+80.41)*55%</f>
        <v>27610.847000000005</v>
      </c>
      <c r="H269" s="18">
        <f>SUM(24890.25+924+590.09)*55%</f>
        <v>14522.387000000001</v>
      </c>
      <c r="I269" s="18">
        <f>SUM(1109.53+1385.12+8311.95)*55%</f>
        <v>5943.630000000001</v>
      </c>
      <c r="J269" s="18">
        <f>SUM(4779.39+1717.13)*55%</f>
        <v>3573.0860000000007</v>
      </c>
      <c r="K269" s="18">
        <f>SUM(2984-3.46)*55%</f>
        <v>1639.297</v>
      </c>
      <c r="L269" s="19">
        <f>SUM(F269:K269)</f>
        <v>133027.49900000001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>
        <f>7044+4436.16</f>
        <v>11480.16</v>
      </c>
      <c r="G271" s="18">
        <v>878.22</v>
      </c>
      <c r="H271" s="18"/>
      <c r="I271" s="18"/>
      <c r="J271" s="18"/>
      <c r="K271" s="18"/>
      <c r="L271" s="19">
        <f>SUM(F271:K271)</f>
        <v>12358.38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SUM(66880+11520)*55%</f>
        <v>43120</v>
      </c>
      <c r="G273" s="18">
        <f>SUM(6347.62+262+60.24+308.27+5146.92+3385.58+966.57+51+11.76+27.68+789.93+505.49+127+336.96)*55%</f>
        <v>10079.861000000001</v>
      </c>
      <c r="H273" s="18">
        <f>SUM(574.51+245.39)*55%</f>
        <v>450.94500000000005</v>
      </c>
      <c r="I273" s="18">
        <f>673.81*55%</f>
        <v>370.59550000000002</v>
      </c>
      <c r="J273" s="18"/>
      <c r="K273" s="18"/>
      <c r="L273" s="19">
        <f t="shared" ref="L273:L279" si="12">SUM(F273:K273)</f>
        <v>54021.401500000007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>
        <f>559.08*55%</f>
        <v>307.49400000000003</v>
      </c>
      <c r="J274" s="18"/>
      <c r="K274" s="18"/>
      <c r="L274" s="19">
        <f t="shared" si="12"/>
        <v>307.49400000000003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f>97.43+7075.33+100.87+161.6-16.71</f>
        <v>7418.52</v>
      </c>
      <c r="L275" s="19">
        <f t="shared" si="12"/>
        <v>7418.52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398257.79199999996</v>
      </c>
      <c r="G282" s="42">
        <f t="shared" si="13"/>
        <v>76650.028000000006</v>
      </c>
      <c r="H282" s="42">
        <f t="shared" si="13"/>
        <v>36198.212</v>
      </c>
      <c r="I282" s="42">
        <f t="shared" si="13"/>
        <v>30660.089499999998</v>
      </c>
      <c r="J282" s="42">
        <f t="shared" si="13"/>
        <v>52090.495999999999</v>
      </c>
      <c r="K282" s="42">
        <f t="shared" si="13"/>
        <v>9057.8170000000009</v>
      </c>
      <c r="L282" s="41">
        <f t="shared" si="13"/>
        <v>602914.43449999997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500+5600+1600</f>
        <v>7700</v>
      </c>
      <c r="G287" s="18">
        <f>466.65+122.4</f>
        <v>589.04999999999995</v>
      </c>
      <c r="H287" s="18">
        <f>14100+10500.92+208+4200+800+3965.26+3567.4</f>
        <v>37341.58</v>
      </c>
      <c r="I287" s="18">
        <f>396</f>
        <v>396</v>
      </c>
      <c r="J287" s="18"/>
      <c r="K287" s="18"/>
      <c r="L287" s="19">
        <f>SUM(F287:K287)</f>
        <v>46026.630000000005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SUM(79349.08+18327.56+47302)*45%</f>
        <v>65240.388000000006</v>
      </c>
      <c r="G288" s="18">
        <f>SUM(15651.2+562.99+105.42+298.74+7189.82+4397.36+439.54+166.05+13376.18+573.1+75.3+184.51+3345.06+3543+212.86+80.41)*45%</f>
        <v>22590.693000000003</v>
      </c>
      <c r="H288" s="18">
        <f>SUM(24890.25+924+590.09)*45%</f>
        <v>11881.953</v>
      </c>
      <c r="I288" s="18">
        <f>SUM(1109.53+1385.12+8311.95)*45%</f>
        <v>4862.97</v>
      </c>
      <c r="J288" s="18">
        <f>SUM(4779.39+1717.13)*45%</f>
        <v>2923.4340000000002</v>
      </c>
      <c r="K288" s="18">
        <f>SUM(2984-3.46)*45%</f>
        <v>1341.2429999999999</v>
      </c>
      <c r="L288" s="19">
        <f>SUM(F288:K288)</f>
        <v>108840.681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>
        <f>SUM(66880+11520)*45%</f>
        <v>35280</v>
      </c>
      <c r="G292" s="18">
        <f>SUM(6347.62+262+60.24+308.27+5146.92+3385.58+966.57+51+11.76+27.68+789.93+505.49+127+336.96)*45%</f>
        <v>8247.1589999999997</v>
      </c>
      <c r="H292" s="18">
        <f>SUM(574.51+245.39)*45%</f>
        <v>368.95499999999998</v>
      </c>
      <c r="I292" s="18">
        <f>673.81*45%</f>
        <v>303.21449999999999</v>
      </c>
      <c r="J292" s="18"/>
      <c r="K292" s="18"/>
      <c r="L292" s="19">
        <f t="shared" ref="L292:L298" si="14">SUM(F292:K292)</f>
        <v>44199.328500000003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>
        <f>559.08*45%</f>
        <v>251.58600000000001</v>
      </c>
      <c r="J293" s="18"/>
      <c r="K293" s="18"/>
      <c r="L293" s="19">
        <f t="shared" si="14"/>
        <v>251.58600000000001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>
        <f>112.52+440.06+114.81</f>
        <v>667.3900000000001</v>
      </c>
      <c r="L294" s="19">
        <f t="shared" si="14"/>
        <v>667.3900000000001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108220.38800000001</v>
      </c>
      <c r="G301" s="42">
        <f t="shared" si="15"/>
        <v>31426.902000000002</v>
      </c>
      <c r="H301" s="42">
        <f t="shared" si="15"/>
        <v>49592.488000000005</v>
      </c>
      <c r="I301" s="42">
        <f t="shared" si="15"/>
        <v>5813.7705000000005</v>
      </c>
      <c r="J301" s="42">
        <f t="shared" si="15"/>
        <v>2923.4340000000002</v>
      </c>
      <c r="K301" s="42">
        <f t="shared" si="15"/>
        <v>2008.633</v>
      </c>
      <c r="L301" s="41">
        <f t="shared" si="15"/>
        <v>199985.61550000001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506478.17999999993</v>
      </c>
      <c r="G330" s="41">
        <f t="shared" si="20"/>
        <v>108076.93000000001</v>
      </c>
      <c r="H330" s="41">
        <f t="shared" si="20"/>
        <v>85790.700000000012</v>
      </c>
      <c r="I330" s="41">
        <f t="shared" si="20"/>
        <v>36473.86</v>
      </c>
      <c r="J330" s="41">
        <f t="shared" si="20"/>
        <v>55013.93</v>
      </c>
      <c r="K330" s="41">
        <f t="shared" si="20"/>
        <v>11066.45</v>
      </c>
      <c r="L330" s="41">
        <f t="shared" si="20"/>
        <v>802900.05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506478.17999999993</v>
      </c>
      <c r="G344" s="41">
        <f>G330</f>
        <v>108076.93000000001</v>
      </c>
      <c r="H344" s="41">
        <f>H330</f>
        <v>85790.700000000012</v>
      </c>
      <c r="I344" s="41">
        <f>I330</f>
        <v>36473.86</v>
      </c>
      <c r="J344" s="41">
        <f>J330</f>
        <v>55013.93</v>
      </c>
      <c r="K344" s="47">
        <f>K330+K343</f>
        <v>11066.45</v>
      </c>
      <c r="L344" s="41">
        <f>L330+L343</f>
        <v>802900.05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f>170596.08*55%</f>
        <v>93827.843999999997</v>
      </c>
      <c r="G350" s="18"/>
      <c r="H350" s="18">
        <f>3269.75*55%</f>
        <v>1798.3625000000002</v>
      </c>
      <c r="I350" s="18">
        <f>SUM(113555.21+18220.96+9053.78)*55%</f>
        <v>77456.472500000018</v>
      </c>
      <c r="J350" s="18">
        <f>11077*55%</f>
        <v>6092.35</v>
      </c>
      <c r="K350" s="18">
        <f>2019.64*55%</f>
        <v>1110.8020000000001</v>
      </c>
      <c r="L350" s="13">
        <f>SUM(F350:K350)</f>
        <v>180285.83100000001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f>170596.08*45%</f>
        <v>76768.23599999999</v>
      </c>
      <c r="G351" s="18"/>
      <c r="H351" s="18">
        <f>3269.75*45%</f>
        <v>1471.3875</v>
      </c>
      <c r="I351" s="18">
        <f>SUM(113555.21+18220.96+9053.78)*45%</f>
        <v>63373.477500000008</v>
      </c>
      <c r="J351" s="18">
        <f>11077*45%</f>
        <v>4984.6500000000005</v>
      </c>
      <c r="K351" s="18">
        <f>2019.64*45%</f>
        <v>908.83800000000008</v>
      </c>
      <c r="L351" s="19">
        <f>SUM(F351:K351)</f>
        <v>147506.58899999998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170596.08</v>
      </c>
      <c r="G354" s="47">
        <f t="shared" si="22"/>
        <v>0</v>
      </c>
      <c r="H354" s="47">
        <f t="shared" si="22"/>
        <v>3269.75</v>
      </c>
      <c r="I354" s="47">
        <f t="shared" si="22"/>
        <v>140829.95000000001</v>
      </c>
      <c r="J354" s="47">
        <f t="shared" si="22"/>
        <v>11077</v>
      </c>
      <c r="K354" s="47">
        <f t="shared" si="22"/>
        <v>2019.6400000000003</v>
      </c>
      <c r="L354" s="47">
        <f t="shared" si="22"/>
        <v>327792.42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131776.17*55%</f>
        <v>72476.89350000002</v>
      </c>
      <c r="G359" s="18">
        <f>131776.17*45%</f>
        <v>59299.276500000007</v>
      </c>
      <c r="H359" s="18"/>
      <c r="I359" s="56">
        <f>SUM(F359:H359)</f>
        <v>131776.17000000004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9053.78*55%</f>
        <v>4979.5790000000006</v>
      </c>
      <c r="G360" s="63">
        <f>9053.78*45%</f>
        <v>4074.2010000000005</v>
      </c>
      <c r="H360" s="63"/>
      <c r="I360" s="56">
        <f>SUM(F360:H360)</f>
        <v>9053.7800000000007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77456.472500000018</v>
      </c>
      <c r="G361" s="47">
        <f>SUM(G359:G360)</f>
        <v>63373.477500000008</v>
      </c>
      <c r="H361" s="47">
        <f>SUM(H359:H360)</f>
        <v>0</v>
      </c>
      <c r="I361" s="47">
        <f>SUM(I359:I360)</f>
        <v>140829.95000000004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20000</v>
      </c>
      <c r="H389" s="18">
        <v>199.51</v>
      </c>
      <c r="I389" s="18"/>
      <c r="J389" s="24" t="s">
        <v>312</v>
      </c>
      <c r="K389" s="24" t="s">
        <v>312</v>
      </c>
      <c r="L389" s="56">
        <f t="shared" si="26"/>
        <v>20199.509999999998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199.51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20199.509999999998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199.51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20199.509999999998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>
        <v>60777.3</v>
      </c>
      <c r="H432" s="18"/>
      <c r="I432" s="56">
        <f t="shared" si="33"/>
        <v>60777.3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60777.3</v>
      </c>
      <c r="H438" s="13">
        <f>SUM(H431:H437)</f>
        <v>0</v>
      </c>
      <c r="I438" s="13">
        <f>SUM(I431:I437)</f>
        <v>60777.3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60777.3</v>
      </c>
      <c r="H449" s="18"/>
      <c r="I449" s="56">
        <f>SUM(F449:H449)</f>
        <v>60777.3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60777.3</v>
      </c>
      <c r="H450" s="83">
        <f>SUM(H446:H449)</f>
        <v>0</v>
      </c>
      <c r="I450" s="83">
        <f>SUM(I446:I449)</f>
        <v>60777.3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60777.3</v>
      </c>
      <c r="H451" s="42">
        <f>H444+H450</f>
        <v>0</v>
      </c>
      <c r="I451" s="42">
        <f>I444+I450</f>
        <v>60777.3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745855.71</v>
      </c>
      <c r="G455" s="18">
        <v>77352.429999999993</v>
      </c>
      <c r="H455" s="18">
        <v>0</v>
      </c>
      <c r="I455" s="18">
        <v>0</v>
      </c>
      <c r="J455" s="18">
        <v>40577.79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10667301.65</v>
      </c>
      <c r="G458" s="18">
        <v>321818.17</v>
      </c>
      <c r="H458" s="18">
        <v>802900.05</v>
      </c>
      <c r="I458" s="18">
        <v>1824648</v>
      </c>
      <c r="J458" s="18">
        <v>20199.509999999998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10667301.65</v>
      </c>
      <c r="G460" s="53">
        <f>SUM(G458:G459)</f>
        <v>321818.17</v>
      </c>
      <c r="H460" s="53">
        <f>SUM(H458:H459)</f>
        <v>802900.05</v>
      </c>
      <c r="I460" s="53">
        <f>SUM(I458:I459)</f>
        <v>1824648</v>
      </c>
      <c r="J460" s="53">
        <f>SUM(J458:J459)</f>
        <v>20199.509999999998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10927208.5</v>
      </c>
      <c r="G462" s="18">
        <v>327792.42</v>
      </c>
      <c r="H462" s="18">
        <v>802900.05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10927208.5</v>
      </c>
      <c r="G464" s="53">
        <f>SUM(G462:G463)</f>
        <v>327792.42</v>
      </c>
      <c r="H464" s="53">
        <f>SUM(H462:H463)</f>
        <v>802900.05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485948.8599999994</v>
      </c>
      <c r="G466" s="53">
        <f>(G455+G460)- G464</f>
        <v>71378.179999999993</v>
      </c>
      <c r="H466" s="53">
        <f>(H455+H460)- H464</f>
        <v>0</v>
      </c>
      <c r="I466" s="53">
        <f>(I455+I460)- I464</f>
        <v>1824648</v>
      </c>
      <c r="J466" s="53">
        <f>(J455+J460)- J464</f>
        <v>60777.3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/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/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/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/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/>
      <c r="G485" s="18"/>
      <c r="H485" s="18"/>
      <c r="I485" s="18"/>
      <c r="J485" s="18"/>
      <c r="K485" s="53">
        <f>SUM(F485:J485)</f>
        <v>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/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/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/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/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/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SUM(534632.95+180222.32+395063.27)*55%</f>
        <v>610455.19700000004</v>
      </c>
      <c r="G511" s="18">
        <v>142952.41</v>
      </c>
      <c r="H511" s="18">
        <f>SUM(171413.17-591.46)*55%</f>
        <v>93951.940500000026</v>
      </c>
      <c r="I511" s="18">
        <f>4426.92*55%</f>
        <v>2434.806</v>
      </c>
      <c r="J511" s="18">
        <v>1704.92</v>
      </c>
      <c r="K511" s="18"/>
      <c r="L511" s="88">
        <f>SUM(F511:K511)</f>
        <v>851499.27350000013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SUM(534632.95+180222.32+395063.27)*45%</f>
        <v>499463.34300000005</v>
      </c>
      <c r="G512" s="18">
        <v>116961.06</v>
      </c>
      <c r="H512" s="18">
        <f>SUM(171413.17-591.46)*45%</f>
        <v>76869.769500000009</v>
      </c>
      <c r="I512" s="18">
        <f>4426.92*45%</f>
        <v>1992.114</v>
      </c>
      <c r="J512" s="18"/>
      <c r="K512" s="18"/>
      <c r="L512" s="88">
        <f>SUM(F512:K512)</f>
        <v>695286.28650000005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/>
      <c r="I513" s="18"/>
      <c r="J513" s="18"/>
      <c r="K513" s="18"/>
      <c r="L513" s="88">
        <f>SUM(F513:K513)</f>
        <v>0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1109918.54</v>
      </c>
      <c r="G514" s="108">
        <f t="shared" ref="G514:L514" si="35">SUM(G511:G513)</f>
        <v>259913.47</v>
      </c>
      <c r="H514" s="108">
        <f t="shared" si="35"/>
        <v>170821.71000000002</v>
      </c>
      <c r="I514" s="108">
        <f t="shared" si="35"/>
        <v>4426.92</v>
      </c>
      <c r="J514" s="108">
        <f t="shared" si="35"/>
        <v>1704.92</v>
      </c>
      <c r="K514" s="108">
        <f t="shared" si="35"/>
        <v>0</v>
      </c>
      <c r="L514" s="89">
        <f t="shared" si="35"/>
        <v>1546785.56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165705.22*55%</f>
        <v>91137.871000000014</v>
      </c>
      <c r="G516" s="18">
        <v>21381.96</v>
      </c>
      <c r="H516" s="18"/>
      <c r="I516" s="18"/>
      <c r="J516" s="18"/>
      <c r="K516" s="18"/>
      <c r="L516" s="88">
        <f>SUM(F516:K516)</f>
        <v>112519.83100000001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165705.22*45%</f>
        <v>74567.349000000002</v>
      </c>
      <c r="G517" s="18">
        <v>17494.330000000002</v>
      </c>
      <c r="H517" s="18"/>
      <c r="I517" s="18"/>
      <c r="J517" s="18"/>
      <c r="K517" s="18"/>
      <c r="L517" s="88">
        <f>SUM(F517:K517)</f>
        <v>92061.679000000004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165705.22000000003</v>
      </c>
      <c r="G519" s="89">
        <f t="shared" ref="G519:L519" si="36">SUM(G516:G518)</f>
        <v>38876.29</v>
      </c>
      <c r="H519" s="89">
        <f t="shared" si="36"/>
        <v>0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204581.51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SUM(80268.95+36489.64)*55%</f>
        <v>64217.224500000004</v>
      </c>
      <c r="G521" s="18">
        <f>16326.76+500</f>
        <v>16826.760000000002</v>
      </c>
      <c r="H521" s="18"/>
      <c r="I521" s="18"/>
      <c r="J521" s="18"/>
      <c r="K521" s="18">
        <v>426</v>
      </c>
      <c r="L521" s="88">
        <f>SUM(F521:K521)</f>
        <v>81469.984500000006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SUM(80268.95+36489.64)*45%</f>
        <v>52541.3655</v>
      </c>
      <c r="G522" s="18">
        <f>13358.26+500</f>
        <v>13858.26</v>
      </c>
      <c r="H522" s="18"/>
      <c r="I522" s="18"/>
      <c r="J522" s="18"/>
      <c r="K522" s="18"/>
      <c r="L522" s="88">
        <f>SUM(F522:K522)</f>
        <v>66399.625499999995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116758.59</v>
      </c>
      <c r="G524" s="89">
        <f t="shared" ref="G524:L524" si="37">SUM(G521:G523)</f>
        <v>30685.020000000004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426</v>
      </c>
      <c r="L524" s="89">
        <f t="shared" si="37"/>
        <v>147869.60999999999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591.46*55%</f>
        <v>325.30300000000005</v>
      </c>
      <c r="I526" s="18"/>
      <c r="J526" s="18"/>
      <c r="K526" s="18"/>
      <c r="L526" s="88">
        <f>SUM(F526:K526)</f>
        <v>325.30300000000005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591.46*45%</f>
        <v>266.15700000000004</v>
      </c>
      <c r="I527" s="18"/>
      <c r="J527" s="18"/>
      <c r="K527" s="18"/>
      <c r="L527" s="88">
        <f>SUM(F527:K527)</f>
        <v>266.15700000000004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591.46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591.46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115139.38*55%</f>
        <v>63326.659000000007</v>
      </c>
      <c r="I531" s="18"/>
      <c r="J531" s="18"/>
      <c r="K531" s="18"/>
      <c r="L531" s="88">
        <f>SUM(F531:K531)</f>
        <v>63326.659000000007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f>115139.38*45%</f>
        <v>51812.721000000005</v>
      </c>
      <c r="I532" s="18"/>
      <c r="J532" s="18"/>
      <c r="K532" s="18"/>
      <c r="L532" s="88">
        <f>SUM(F532:K532)</f>
        <v>51812.721000000005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115139.38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115139.38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1392382.35</v>
      </c>
      <c r="G535" s="89">
        <f t="shared" ref="G535:L535" si="40">G514+G519+G524+G529+G534</f>
        <v>329474.78000000003</v>
      </c>
      <c r="H535" s="89">
        <f t="shared" si="40"/>
        <v>286552.55000000005</v>
      </c>
      <c r="I535" s="89">
        <f t="shared" si="40"/>
        <v>4426.92</v>
      </c>
      <c r="J535" s="89">
        <f t="shared" si="40"/>
        <v>1704.92</v>
      </c>
      <c r="K535" s="89">
        <f t="shared" si="40"/>
        <v>426</v>
      </c>
      <c r="L535" s="89">
        <f t="shared" si="40"/>
        <v>2014967.52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851499.27350000013</v>
      </c>
      <c r="G539" s="87">
        <f>L516</f>
        <v>112519.83100000001</v>
      </c>
      <c r="H539" s="87">
        <f>L521</f>
        <v>81469.984500000006</v>
      </c>
      <c r="I539" s="87">
        <f>L526</f>
        <v>325.30300000000005</v>
      </c>
      <c r="J539" s="87">
        <f>L531</f>
        <v>63326.659000000007</v>
      </c>
      <c r="K539" s="87">
        <f>SUM(F539:J539)</f>
        <v>1109141.0510000002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695286.28650000005</v>
      </c>
      <c r="G540" s="87">
        <f>L517</f>
        <v>92061.679000000004</v>
      </c>
      <c r="H540" s="87">
        <f>L522</f>
        <v>66399.625499999995</v>
      </c>
      <c r="I540" s="87">
        <f>L527</f>
        <v>266.15700000000004</v>
      </c>
      <c r="J540" s="87">
        <f>L532</f>
        <v>51812.721000000005</v>
      </c>
      <c r="K540" s="87">
        <f>SUM(F540:J540)</f>
        <v>905826.46900000004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0</v>
      </c>
      <c r="G541" s="87">
        <f>L518</f>
        <v>0</v>
      </c>
      <c r="H541" s="87">
        <f>L523</f>
        <v>0</v>
      </c>
      <c r="I541" s="87">
        <f>L528</f>
        <v>0</v>
      </c>
      <c r="J541" s="87">
        <f>L533</f>
        <v>0</v>
      </c>
      <c r="K541" s="87">
        <f>SUM(F541:J541)</f>
        <v>0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1546785.56</v>
      </c>
      <c r="G542" s="89">
        <f t="shared" si="41"/>
        <v>204581.51</v>
      </c>
      <c r="H542" s="89">
        <f t="shared" si="41"/>
        <v>147869.60999999999</v>
      </c>
      <c r="I542" s="89">
        <f t="shared" si="41"/>
        <v>591.46</v>
      </c>
      <c r="J542" s="89">
        <f t="shared" si="41"/>
        <v>115139.38</v>
      </c>
      <c r="K542" s="89">
        <f t="shared" si="41"/>
        <v>2014967.5200000003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26118.98</v>
      </c>
      <c r="H569" s="18"/>
      <c r="I569" s="87">
        <f t="shared" si="46"/>
        <v>26118.98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29403.67</v>
      </c>
      <c r="G572" s="18">
        <v>10867.82</v>
      </c>
      <c r="H572" s="18"/>
      <c r="I572" s="87">
        <f t="shared" si="46"/>
        <v>40271.49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>
        <v>1232</v>
      </c>
      <c r="H573" s="18"/>
      <c r="I573" s="87">
        <f t="shared" si="46"/>
        <v>1232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458046.23*55%</f>
        <v>251925.4265</v>
      </c>
      <c r="I581" s="18">
        <f>458046.23*45%</f>
        <v>206120.80350000001</v>
      </c>
      <c r="J581" s="18"/>
      <c r="K581" s="104">
        <f t="shared" ref="K581:K587" si="47">SUM(H581:J581)</f>
        <v>458046.23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115139.38*55%</f>
        <v>63326.659000000007</v>
      </c>
      <c r="I582" s="18">
        <f>115139.38*45%</f>
        <v>51812.721000000005</v>
      </c>
      <c r="J582" s="18"/>
      <c r="K582" s="104">
        <f t="shared" si="47"/>
        <v>115139.38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5838</v>
      </c>
      <c r="J584" s="18"/>
      <c r="K584" s="104">
        <f t="shared" si="47"/>
        <v>5838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8397.7000000000007</v>
      </c>
      <c r="I585" s="18">
        <v>4882</v>
      </c>
      <c r="J585" s="18"/>
      <c r="K585" s="104">
        <f t="shared" si="47"/>
        <v>13279.7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>
        <f>9975.5*55%</f>
        <v>5486.5250000000005</v>
      </c>
      <c r="I586" s="18">
        <f>9975.5*45%</f>
        <v>4488.9750000000004</v>
      </c>
      <c r="J586" s="18"/>
      <c r="K586" s="104">
        <f t="shared" si="47"/>
        <v>9975.5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329136.31050000002</v>
      </c>
      <c r="I588" s="108">
        <f>SUM(I581:I587)</f>
        <v>273142.49949999998</v>
      </c>
      <c r="J588" s="108">
        <f>SUM(J581:J587)</f>
        <v>0</v>
      </c>
      <c r="K588" s="108">
        <f>SUM(K581:K587)</f>
        <v>602278.80999999994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65123.07+52090.5</f>
        <v>117213.57</v>
      </c>
      <c r="I594" s="18">
        <f>59314.23+2923.43</f>
        <v>62237.66</v>
      </c>
      <c r="J594" s="18"/>
      <c r="K594" s="104">
        <f>SUM(H594:J594)</f>
        <v>179451.23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117213.57</v>
      </c>
      <c r="I595" s="108">
        <f>SUM(I592:I594)</f>
        <v>62237.66</v>
      </c>
      <c r="J595" s="108">
        <f>SUM(J592:J594)</f>
        <v>0</v>
      </c>
      <c r="K595" s="108">
        <f>SUM(K592:K594)</f>
        <v>179451.23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21510.16</v>
      </c>
      <c r="G601" s="18"/>
      <c r="H601" s="18"/>
      <c r="I601" s="18"/>
      <c r="J601" s="18"/>
      <c r="K601" s="18"/>
      <c r="L601" s="88">
        <f>SUM(F601:K601)</f>
        <v>21510.16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17610</v>
      </c>
      <c r="G602" s="18"/>
      <c r="H602" s="18"/>
      <c r="I602" s="18"/>
      <c r="J602" s="18"/>
      <c r="K602" s="18"/>
      <c r="L602" s="88">
        <f>SUM(F602:K602)</f>
        <v>17610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39120.160000000003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39120.160000000003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641488.56000000006</v>
      </c>
      <c r="H607" s="109">
        <f>SUM(F44)</f>
        <v>641488.56000000006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71896.63</v>
      </c>
      <c r="H608" s="109">
        <f>SUM(G44)</f>
        <v>71896.62999999999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8440.84</v>
      </c>
      <c r="H609" s="109">
        <f>SUM(H44)</f>
        <v>8440.84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1824648</v>
      </c>
      <c r="H610" s="109">
        <f>SUM(I44)</f>
        <v>1824648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60777.3</v>
      </c>
      <c r="H611" s="109">
        <f>SUM(J44)</f>
        <v>60777.3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485948.86000000004</v>
      </c>
      <c r="H612" s="109">
        <f>F466</f>
        <v>485948.8599999994</v>
      </c>
      <c r="I612" s="121" t="s">
        <v>106</v>
      </c>
      <c r="J612" s="109">
        <f t="shared" ref="J612:J645" si="49">G612-H612</f>
        <v>6.4028427004814148E-10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71378.179999999993</v>
      </c>
      <c r="H613" s="109">
        <f>G466</f>
        <v>71378.179999999993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1824648</v>
      </c>
      <c r="H615" s="109">
        <f>I466</f>
        <v>1824648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60777.3</v>
      </c>
      <c r="H616" s="109">
        <f>J466</f>
        <v>60777.3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10667301.649999999</v>
      </c>
      <c r="H617" s="104">
        <f>SUM(F458)</f>
        <v>10667301.65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321818.17</v>
      </c>
      <c r="H618" s="104">
        <f>SUM(G458)</f>
        <v>321818.17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802900.05</v>
      </c>
      <c r="H619" s="104">
        <f>SUM(H458)</f>
        <v>802900.05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1824648</v>
      </c>
      <c r="H620" s="104">
        <f>SUM(I458)</f>
        <v>1824648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20199.509999999998</v>
      </c>
      <c r="H621" s="104">
        <f>SUM(J458)</f>
        <v>20199.509999999998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10927208.5</v>
      </c>
      <c r="H622" s="104">
        <f>SUM(F462)</f>
        <v>10927208.5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802900.05</v>
      </c>
      <c r="H623" s="104">
        <f>SUM(H462)</f>
        <v>802900.05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140829.95000000001</v>
      </c>
      <c r="H624" s="104">
        <f>I361</f>
        <v>140829.95000000004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327792.42</v>
      </c>
      <c r="H625" s="104">
        <f>SUM(G462)</f>
        <v>327792.42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20199.509999999998</v>
      </c>
      <c r="H627" s="164">
        <f>SUM(J458)</f>
        <v>20199.509999999998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60777.3</v>
      </c>
      <c r="H630" s="104">
        <f>SUM(G451)</f>
        <v>60777.3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60777.3</v>
      </c>
      <c r="H632" s="104">
        <f>SUM(I451)</f>
        <v>60777.3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199.51</v>
      </c>
      <c r="H634" s="104">
        <f>H400</f>
        <v>199.51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20199.509999999998</v>
      </c>
      <c r="H636" s="104">
        <f>L400</f>
        <v>20199.509999999998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602278.80999999994</v>
      </c>
      <c r="H637" s="104">
        <f>L200+L218+L236</f>
        <v>602278.81000000006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179451.23</v>
      </c>
      <c r="H638" s="104">
        <f>(J249+J330)-(J247+J328)</f>
        <v>179451.23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329136.31</v>
      </c>
      <c r="H639" s="104">
        <f>H588</f>
        <v>329136.31050000002</v>
      </c>
      <c r="I639" s="140" t="s">
        <v>412</v>
      </c>
      <c r="J639" s="109">
        <f t="shared" si="49"/>
        <v>-5.0000002374872565E-4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273142.5</v>
      </c>
      <c r="H640" s="104">
        <f>I588</f>
        <v>273142.49949999998</v>
      </c>
      <c r="I640" s="140" t="s">
        <v>413</v>
      </c>
      <c r="J640" s="109">
        <f t="shared" si="49"/>
        <v>5.0000002374872565E-4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0</v>
      </c>
      <c r="H641" s="104">
        <f>J588</f>
        <v>0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6715053.2905000001</v>
      </c>
      <c r="G650" s="19">
        <f>(L221+L301+L351)</f>
        <v>5117978.9495000001</v>
      </c>
      <c r="H650" s="19">
        <f>(L239+L320+L352)</f>
        <v>0</v>
      </c>
      <c r="I650" s="19">
        <f>SUM(F650:H650)</f>
        <v>11833032.24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47215.558500000006</v>
      </c>
      <c r="G651" s="19">
        <f>(L351/IF(SUM(L350:L352)=0,1,SUM(L350:L352))*(SUM(G89:G102)))</f>
        <v>38630.911499999995</v>
      </c>
      <c r="H651" s="19">
        <f>(L352/IF(SUM(L350:L352)=0,1,SUM(L350:L352))*(SUM(G89:G102)))</f>
        <v>0</v>
      </c>
      <c r="I651" s="19">
        <f>SUM(F651:H651)</f>
        <v>85846.47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329136.31</v>
      </c>
      <c r="G652" s="19">
        <f>(L218+L298)-(J218+J298)</f>
        <v>273142.5</v>
      </c>
      <c r="H652" s="19">
        <f>(L236+L317)-(J236+J317)</f>
        <v>0</v>
      </c>
      <c r="I652" s="19">
        <f>SUM(F652:H652)</f>
        <v>602278.81000000006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168127.4</v>
      </c>
      <c r="G653" s="200">
        <f>SUM(G565:G577)+SUM(I592:I594)+L602</f>
        <v>118066.46</v>
      </c>
      <c r="H653" s="200">
        <f>SUM(H565:H577)+SUM(J592:J594)+L603</f>
        <v>0</v>
      </c>
      <c r="I653" s="19">
        <f>SUM(F653:H653)</f>
        <v>286193.86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6170574.0219999999</v>
      </c>
      <c r="G654" s="19">
        <f>G650-SUM(G651:G653)</f>
        <v>4688139.0779999997</v>
      </c>
      <c r="H654" s="19">
        <f>H650-SUM(H651:H653)</f>
        <v>0</v>
      </c>
      <c r="I654" s="19">
        <f>I650-SUM(I651:I653)</f>
        <v>10858713.1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356.24</v>
      </c>
      <c r="G655" s="249">
        <v>332.3</v>
      </c>
      <c r="H655" s="249"/>
      <c r="I655" s="19">
        <f>SUM(F655:H655)</f>
        <v>688.54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17321.400000000001</v>
      </c>
      <c r="G657" s="19">
        <f>ROUND(G654/G655,2)</f>
        <v>14108.15</v>
      </c>
      <c r="H657" s="19" t="e">
        <f>ROUND(H654/H655,2)</f>
        <v>#DIV/0!</v>
      </c>
      <c r="I657" s="19">
        <f>ROUND(I654/I655,2)</f>
        <v>15770.64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17321.400000000001</v>
      </c>
      <c r="G662" s="19">
        <f>ROUND((G654+G659)/(G655+G660),2)</f>
        <v>14108.15</v>
      </c>
      <c r="H662" s="19" t="e">
        <f>ROUND((H654+H659)/(H655+H660),2)</f>
        <v>#DIV/0!</v>
      </c>
      <c r="I662" s="19">
        <f>ROUND((I654+I659)/(I655+I660),2)</f>
        <v>15770.64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FF6BF-CAF2-4DF8-9603-D1B86467A78B}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Seabrook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3939633.89</v>
      </c>
      <c r="C9" s="230">
        <f>'DOE25'!G189+'DOE25'!G207+'DOE25'!G225+'DOE25'!G268+'DOE25'!G287+'DOE25'!G306</f>
        <v>1207670.3600000001</v>
      </c>
    </row>
    <row r="10" spans="1:3" x14ac:dyDescent="0.2">
      <c r="A10" t="s">
        <v>813</v>
      </c>
      <c r="B10" s="241">
        <f>1928482.8+1477352.09+70391.92+500+1600+2599.98+9825</f>
        <v>3490751.79</v>
      </c>
      <c r="C10" s="241">
        <f>1143799.96+2007.15+21825.06+747.44+2680</f>
        <v>1171059.6099999999</v>
      </c>
    </row>
    <row r="11" spans="1:3" x14ac:dyDescent="0.2">
      <c r="A11" t="s">
        <v>814</v>
      </c>
      <c r="B11" s="241">
        <f>80438.51+37558.42+1024.56+36122.1+126425.63+6212.41+26007.44</f>
        <v>313789.06999999995</v>
      </c>
      <c r="C11" s="241">
        <f>13668.15+9478.53+2304.96+122.62</f>
        <v>25574.26</v>
      </c>
    </row>
    <row r="12" spans="1:3" x14ac:dyDescent="0.2">
      <c r="A12" t="s">
        <v>815</v>
      </c>
      <c r="B12" s="241">
        <f>55414.2+51621.83+7420+5600+15037</f>
        <v>135093.03</v>
      </c>
      <c r="C12" s="241">
        <f>8851.88+466.65+567.63+1150.33</f>
        <v>11036.489999999998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3939633.8899999997</v>
      </c>
      <c r="C13" s="232">
        <f>SUM(C10:C12)</f>
        <v>1207670.3599999999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1371655.77</v>
      </c>
      <c r="C18" s="230">
        <f>'DOE25'!G190+'DOE25'!G208+'DOE25'!G226+'DOE25'!G269+'DOE25'!G288+'DOE25'!G307</f>
        <v>340901.05000000005</v>
      </c>
    </row>
    <row r="19" spans="1:3" x14ac:dyDescent="0.2">
      <c r="A19" t="s">
        <v>813</v>
      </c>
      <c r="B19" s="241">
        <f>534632.95+180222.32+79349.08</f>
        <v>794204.35</v>
      </c>
      <c r="C19" s="241">
        <f>225108.4+27613.8+1000</f>
        <v>253722.19999999998</v>
      </c>
    </row>
    <row r="20" spans="1:3" x14ac:dyDescent="0.2">
      <c r="A20" t="s">
        <v>814</v>
      </c>
      <c r="B20" s="241">
        <f>395063.27+18327.56</f>
        <v>413390.83</v>
      </c>
      <c r="C20" s="241">
        <f>34805.07+1197.34</f>
        <v>36002.409999999996</v>
      </c>
    </row>
    <row r="21" spans="1:3" x14ac:dyDescent="0.2">
      <c r="A21" t="s">
        <v>815</v>
      </c>
      <c r="B21" s="241">
        <f>80268.95+36489.64+47302</f>
        <v>164060.59</v>
      </c>
      <c r="C21" s="241">
        <f>29786.02+21390.42</f>
        <v>51176.44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1371655.77</v>
      </c>
      <c r="C22" s="232">
        <f>SUM(C19:C21)</f>
        <v>340901.05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91495.32</v>
      </c>
      <c r="C36" s="236">
        <f>'DOE25'!G192+'DOE25'!G210+'DOE25'!G228+'DOE25'!G271+'DOE25'!G290+'DOE25'!G309</f>
        <v>7495.47</v>
      </c>
    </row>
    <row r="37" spans="1:3" x14ac:dyDescent="0.2">
      <c r="A37" t="s">
        <v>813</v>
      </c>
      <c r="B37" s="241">
        <f>39120.16+7044</f>
        <v>46164.160000000003</v>
      </c>
      <c r="C37" s="241">
        <v>538.85</v>
      </c>
    </row>
    <row r="38" spans="1:3" x14ac:dyDescent="0.2">
      <c r="A38" t="s">
        <v>814</v>
      </c>
      <c r="B38" s="241">
        <v>4436.16</v>
      </c>
      <c r="C38" s="241">
        <v>339.37</v>
      </c>
    </row>
    <row r="39" spans="1:3" x14ac:dyDescent="0.2">
      <c r="A39" t="s">
        <v>815</v>
      </c>
      <c r="B39" s="241">
        <v>40895</v>
      </c>
      <c r="C39" s="241">
        <v>6617.25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91495.32</v>
      </c>
      <c r="C40" s="232">
        <f>SUM(C37:C39)</f>
        <v>7495.47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68CA3-E03C-4512-AA93-C3B7A07F3607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Seabrook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6814752.0399999991</v>
      </c>
      <c r="D5" s="20">
        <f>SUM('DOE25'!L189:L192)+SUM('DOE25'!L207:L210)+SUM('DOE25'!L225:L228)-F5-G5</f>
        <v>6781997.3499999987</v>
      </c>
      <c r="E5" s="244"/>
      <c r="F5" s="256">
        <f>SUM('DOE25'!J189:J192)+SUM('DOE25'!J207:J210)+SUM('DOE25'!J225:J228)</f>
        <v>30445.91</v>
      </c>
      <c r="G5" s="53">
        <f>SUM('DOE25'!K189:K192)+SUM('DOE25'!K207:K210)+SUM('DOE25'!K225:K228)</f>
        <v>2308.7799999999997</v>
      </c>
      <c r="H5" s="260"/>
    </row>
    <row r="6" spans="1:9" x14ac:dyDescent="0.2">
      <c r="A6" s="32">
        <v>2100</v>
      </c>
      <c r="B6" t="s">
        <v>835</v>
      </c>
      <c r="C6" s="246">
        <f t="shared" si="0"/>
        <v>533081.19999999995</v>
      </c>
      <c r="D6" s="20">
        <f>'DOE25'!L194+'DOE25'!L212+'DOE25'!L230-F6-G6</f>
        <v>533081.19999999995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666084</v>
      </c>
      <c r="D7" s="20">
        <f>'DOE25'!L195+'DOE25'!L213+'DOE25'!L231-F7-G7</f>
        <v>607683.62</v>
      </c>
      <c r="E7" s="244"/>
      <c r="F7" s="256">
        <f>'DOE25'!J195+'DOE25'!J213+'DOE25'!J231</f>
        <v>58400.380000000005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217867.29999999996</v>
      </c>
      <c r="D8" s="244"/>
      <c r="E8" s="20">
        <f>'DOE25'!L196+'DOE25'!L214+'DOE25'!L232-F8-G8-D9-D11</f>
        <v>209267.08999999997</v>
      </c>
      <c r="F8" s="256">
        <f>'DOE25'!J196+'DOE25'!J214+'DOE25'!J232</f>
        <v>0</v>
      </c>
      <c r="G8" s="53">
        <f>'DOE25'!K196+'DOE25'!K214+'DOE25'!K232</f>
        <v>8600.2099999999991</v>
      </c>
      <c r="H8" s="260"/>
    </row>
    <row r="9" spans="1:9" x14ac:dyDescent="0.2">
      <c r="A9" s="32">
        <v>2310</v>
      </c>
      <c r="B9" t="s">
        <v>852</v>
      </c>
      <c r="C9" s="246">
        <f t="shared" si="0"/>
        <v>95777.2</v>
      </c>
      <c r="D9" s="245">
        <v>95777.2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12847</v>
      </c>
      <c r="D10" s="244"/>
      <c r="E10" s="245">
        <v>12847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107806.08</v>
      </c>
      <c r="D11" s="245">
        <v>107806.08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517723.03</v>
      </c>
      <c r="D12" s="20">
        <f>'DOE25'!L197+'DOE25'!L215+'DOE25'!L233-F12-G12</f>
        <v>515941.09</v>
      </c>
      <c r="E12" s="244"/>
      <c r="F12" s="256">
        <f>'DOE25'!J197+'DOE25'!J215+'DOE25'!J233</f>
        <v>0</v>
      </c>
      <c r="G12" s="53">
        <f>'DOE25'!K197+'DOE25'!K215+'DOE25'!K233</f>
        <v>1781.94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1146331.1100000001</v>
      </c>
      <c r="D14" s="20">
        <f>'DOE25'!L199+'DOE25'!L217+'DOE25'!L235-F14-G14</f>
        <v>1110740.1000000001</v>
      </c>
      <c r="E14" s="244"/>
      <c r="F14" s="256">
        <f>'DOE25'!J199+'DOE25'!J217+'DOE25'!J235</f>
        <v>35591.01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602278.81000000006</v>
      </c>
      <c r="D15" s="20">
        <f>'DOE25'!L200+'DOE25'!L218+'DOE25'!L236-F15-G15</f>
        <v>602278.81000000006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639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639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204868.73</v>
      </c>
      <c r="D22" s="244"/>
      <c r="E22" s="244"/>
      <c r="F22" s="256">
        <f>'DOE25'!L247+'DOE25'!L328</f>
        <v>204868.73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0</v>
      </c>
      <c r="D25" s="244"/>
      <c r="E25" s="244"/>
      <c r="F25" s="259"/>
      <c r="G25" s="257"/>
      <c r="H25" s="258">
        <f>'DOE25'!L252+'DOE25'!L253+'DOE25'!L333+'DOE25'!L334</f>
        <v>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196016.24999999994</v>
      </c>
      <c r="D29" s="20">
        <f>'DOE25'!L350+'DOE25'!L351+'DOE25'!L352-'DOE25'!I359-F29-G29</f>
        <v>182919.60999999993</v>
      </c>
      <c r="E29" s="244"/>
      <c r="F29" s="256">
        <f>'DOE25'!J350+'DOE25'!J351+'DOE25'!J352</f>
        <v>11077</v>
      </c>
      <c r="G29" s="53">
        <f>'DOE25'!K350+'DOE25'!K351+'DOE25'!K352</f>
        <v>2019.6400000000003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802900.05</v>
      </c>
      <c r="D31" s="20">
        <f>'DOE25'!L282+'DOE25'!L301+'DOE25'!L320+'DOE25'!L325+'DOE25'!L326+'DOE25'!L327-F31-G31</f>
        <v>736819.67</v>
      </c>
      <c r="E31" s="244"/>
      <c r="F31" s="256">
        <f>'DOE25'!J282+'DOE25'!J301+'DOE25'!J320+'DOE25'!J325+'DOE25'!J326+'DOE25'!J327</f>
        <v>55013.93</v>
      </c>
      <c r="G31" s="53">
        <f>'DOE25'!K282+'DOE25'!K301+'DOE25'!K320+'DOE25'!K325+'DOE25'!K326+'DOE25'!K327</f>
        <v>11066.45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11275044.729999999</v>
      </c>
      <c r="E33" s="247">
        <f>SUM(E5:E31)</f>
        <v>222114.08999999997</v>
      </c>
      <c r="F33" s="247">
        <f>SUM(F5:F31)</f>
        <v>395396.96</v>
      </c>
      <c r="G33" s="247">
        <f>SUM(G5:G31)</f>
        <v>26416.02</v>
      </c>
      <c r="H33" s="247">
        <f>SUM(H5:H31)</f>
        <v>0</v>
      </c>
    </row>
    <row r="35" spans="2:8" ht="12" thickBot="1" x14ac:dyDescent="0.25">
      <c r="B35" s="254" t="s">
        <v>881</v>
      </c>
      <c r="D35" s="255">
        <f>E33</f>
        <v>222114.08999999997</v>
      </c>
      <c r="E35" s="250"/>
    </row>
    <row r="36" spans="2:8" ht="12" thickTop="1" x14ac:dyDescent="0.2">
      <c r="B36" t="s">
        <v>849</v>
      </c>
      <c r="D36" s="20">
        <f>D33</f>
        <v>11275044.729999999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ECE3-0ADF-4683-8C92-989B114EF6B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Seabrook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547635.78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454.31</v>
      </c>
      <c r="D10" s="95">
        <f>'DOE25'!G10</f>
        <v>0</v>
      </c>
      <c r="E10" s="95">
        <f>'DOE25'!H10</f>
        <v>0</v>
      </c>
      <c r="F10" s="95">
        <f>'DOE25'!I10</f>
        <v>1824648</v>
      </c>
      <c r="G10" s="95">
        <f>'DOE25'!J10</f>
        <v>60777.3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88700.2</v>
      </c>
      <c r="D12" s="95">
        <f>'DOE25'!G12</f>
        <v>50064.959999999999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4598.78</v>
      </c>
      <c r="D13" s="95">
        <f>'DOE25'!G13</f>
        <v>21831.67</v>
      </c>
      <c r="E13" s="95">
        <f>'DOE25'!H13</f>
        <v>8440.84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99.49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641488.56000000006</v>
      </c>
      <c r="D19" s="41">
        <f>SUM(D9:D18)</f>
        <v>71896.63</v>
      </c>
      <c r="E19" s="41">
        <f>SUM(E9:E18)</f>
        <v>8440.84</v>
      </c>
      <c r="F19" s="41">
        <f>SUM(F9:F18)</f>
        <v>1824648</v>
      </c>
      <c r="G19" s="41">
        <f>SUM(G9:G18)</f>
        <v>60777.3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50064.959999999999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97093.43</v>
      </c>
      <c r="D24" s="95">
        <f>'DOE25'!G25</f>
        <v>518.45000000000005</v>
      </c>
      <c r="E24" s="95">
        <f>'DOE25'!H25</f>
        <v>8440.84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8381.31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155539.69999999998</v>
      </c>
      <c r="D32" s="41">
        <f>SUM(D22:D31)</f>
        <v>518.45000000000005</v>
      </c>
      <c r="E32" s="41">
        <f>SUM(E22:E31)</f>
        <v>8440.84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118837.02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45000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3759.57</v>
      </c>
      <c r="D40" s="95">
        <f>'DOE25'!G41</f>
        <v>71378.179999999993</v>
      </c>
      <c r="E40" s="95">
        <f>'DOE25'!H41</f>
        <v>0</v>
      </c>
      <c r="F40" s="95">
        <f>'DOE25'!I41</f>
        <v>1824648</v>
      </c>
      <c r="G40" s="95">
        <f>'DOE25'!J41</f>
        <v>60777.3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318352.27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485948.86000000004</v>
      </c>
      <c r="D42" s="41">
        <f>SUM(D34:D41)</f>
        <v>71378.179999999993</v>
      </c>
      <c r="E42" s="41">
        <f>SUM(E34:E41)</f>
        <v>0</v>
      </c>
      <c r="F42" s="41">
        <f>SUM(F34:F41)</f>
        <v>1824648</v>
      </c>
      <c r="G42" s="41">
        <f>SUM(G34:G41)</f>
        <v>60777.3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641488.56000000006</v>
      </c>
      <c r="D43" s="41">
        <f>D42+D32</f>
        <v>71896.62999999999</v>
      </c>
      <c r="E43" s="41">
        <f>E42+E32</f>
        <v>8440.84</v>
      </c>
      <c r="F43" s="41">
        <f>F42+F32</f>
        <v>1824648</v>
      </c>
      <c r="G43" s="41">
        <f>G42+G32</f>
        <v>60777.3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7133562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15778.47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199.51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85846.47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7407.66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23186.129999999997</v>
      </c>
      <c r="D54" s="130">
        <f>SUM(D49:D53)</f>
        <v>85846.47</v>
      </c>
      <c r="E54" s="130">
        <f>SUM(E49:E53)</f>
        <v>0</v>
      </c>
      <c r="F54" s="130">
        <f>SUM(F49:F53)</f>
        <v>0</v>
      </c>
      <c r="G54" s="130">
        <f>SUM(G49:G53)</f>
        <v>199.51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7156748.1299999999</v>
      </c>
      <c r="D55" s="22">
        <f>D48+D54</f>
        <v>85846.47</v>
      </c>
      <c r="E55" s="22">
        <f>E48+E54</f>
        <v>0</v>
      </c>
      <c r="F55" s="22">
        <f>F48+F54</f>
        <v>0</v>
      </c>
      <c r="G55" s="22">
        <f>G48+G54</f>
        <v>199.51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915328.96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2187945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351184.04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3454458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0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5112.67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0</v>
      </c>
      <c r="D70" s="130">
        <f>SUM(D64:D69)</f>
        <v>5112.67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3454458</v>
      </c>
      <c r="D73" s="130">
        <f>SUM(D71:D72)+D70+D62</f>
        <v>5112.67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36503.660000000003</v>
      </c>
      <c r="E77" s="95">
        <f>'DOE25'!H139</f>
        <v>0</v>
      </c>
      <c r="F77" s="95">
        <f>'DOE25'!I139</f>
        <v>1824648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56095.519999999997</v>
      </c>
      <c r="D80" s="95">
        <f>SUM('DOE25'!G145:G153)</f>
        <v>176134.41</v>
      </c>
      <c r="E80" s="95">
        <f>SUM('DOE25'!H145:H153)</f>
        <v>802900.05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18220.96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56095.519999999997</v>
      </c>
      <c r="D83" s="131">
        <f>SUM(D77:D82)</f>
        <v>230859.03</v>
      </c>
      <c r="E83" s="131">
        <f>SUM(E77:E82)</f>
        <v>802900.05</v>
      </c>
      <c r="F83" s="131">
        <f>SUM(F77:F82)</f>
        <v>1824648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797</v>
      </c>
      <c r="C96" s="86">
        <f>C55+C73+C83+C95</f>
        <v>10667301.649999999</v>
      </c>
      <c r="D96" s="86">
        <f>D55+D73+D83+D95</f>
        <v>321818.17</v>
      </c>
      <c r="E96" s="86">
        <f>E55+E73+E83+E95</f>
        <v>802900.05</v>
      </c>
      <c r="F96" s="86">
        <f>F55+F73+F83+F95</f>
        <v>1824648</v>
      </c>
      <c r="G96" s="86">
        <f>G55+G73+G95</f>
        <v>20199.509999999998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5011564.25</v>
      </c>
      <c r="D101" s="24" t="s">
        <v>312</v>
      </c>
      <c r="E101" s="95">
        <f>('DOE25'!L268)+('DOE25'!L287)+('DOE25'!L306)</f>
        <v>441807.76999999996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1695347.65</v>
      </c>
      <c r="D102" s="24" t="s">
        <v>312</v>
      </c>
      <c r="E102" s="95">
        <f>('DOE25'!L269)+('DOE25'!L288)+('DOE25'!L307)</f>
        <v>241868.18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107840.14</v>
      </c>
      <c r="D104" s="24" t="s">
        <v>312</v>
      </c>
      <c r="E104" s="95">
        <f>+('DOE25'!L271)+('DOE25'!L290)+('DOE25'!L309)</f>
        <v>12358.38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6814752.04</v>
      </c>
      <c r="D107" s="86">
        <f>SUM(D101:D106)</f>
        <v>0</v>
      </c>
      <c r="E107" s="86">
        <f>SUM(E101:E106)</f>
        <v>696034.33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533081.19999999995</v>
      </c>
      <c r="D110" s="24" t="s">
        <v>312</v>
      </c>
      <c r="E110" s="95">
        <f>+('DOE25'!L273)+('DOE25'!L292)+('DOE25'!L311)</f>
        <v>98220.73000000001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666084</v>
      </c>
      <c r="D111" s="24" t="s">
        <v>312</v>
      </c>
      <c r="E111" s="95">
        <f>+('DOE25'!L274)+('DOE25'!L293)+('DOE25'!L312)</f>
        <v>559.08000000000004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421450.58</v>
      </c>
      <c r="D112" s="24" t="s">
        <v>312</v>
      </c>
      <c r="E112" s="95">
        <f>+('DOE25'!L275)+('DOE25'!L294)+('DOE25'!L313)</f>
        <v>8085.9100000000008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517723.03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1146331.1100000001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602278.81000000006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639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327792.42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3887587.73</v>
      </c>
      <c r="D120" s="86">
        <f>SUM(D110:D119)</f>
        <v>327792.42</v>
      </c>
      <c r="E120" s="86">
        <f>SUM(E110:E119)</f>
        <v>106865.72000000002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204868.73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0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20199.509999999998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-199.5099999999984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224868.73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10927208.5</v>
      </c>
      <c r="D137" s="86">
        <f>(D107+D120+D136)</f>
        <v>327792.42</v>
      </c>
      <c r="E137" s="86">
        <f>(E107+E120+E136)</f>
        <v>802900.04999999993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>
        <f>'DOE25'!F481</f>
        <v>0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0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C2047-2788-4801-AD06-547CDCA56FF2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Seabrook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17321</v>
      </c>
    </row>
    <row r="5" spans="1:4" x14ac:dyDescent="0.2">
      <c r="B5" t="s">
        <v>735</v>
      </c>
      <c r="C5" s="179">
        <f>IF('DOE25'!G655+'DOE25'!G660=0,0,ROUND('DOE25'!G662,0))</f>
        <v>14108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15771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5453372</v>
      </c>
      <c r="D10" s="182">
        <f>ROUND((C10/$C$28)*100,1)</f>
        <v>46.4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1937216</v>
      </c>
      <c r="D11" s="182">
        <f>ROUND((C11/$C$28)*100,1)</f>
        <v>16.5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120199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631302</v>
      </c>
      <c r="D15" s="182">
        <f t="shared" ref="D15:D27" si="0">ROUND((C15/$C$28)*100,1)</f>
        <v>5.4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666643</v>
      </c>
      <c r="D16" s="182">
        <f t="shared" si="0"/>
        <v>5.7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430175</v>
      </c>
      <c r="D17" s="182">
        <f t="shared" si="0"/>
        <v>3.7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517723</v>
      </c>
      <c r="D18" s="182">
        <f t="shared" si="0"/>
        <v>4.4000000000000004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1146331</v>
      </c>
      <c r="D20" s="182">
        <f t="shared" si="0"/>
        <v>9.8000000000000007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602279</v>
      </c>
      <c r="D21" s="182">
        <f t="shared" si="0"/>
        <v>5.0999999999999996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0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241945.53</v>
      </c>
      <c r="D27" s="182">
        <f t="shared" si="0"/>
        <v>2.1</v>
      </c>
    </row>
    <row r="28" spans="1:4" x14ac:dyDescent="0.2">
      <c r="B28" s="187" t="s">
        <v>754</v>
      </c>
      <c r="C28" s="180">
        <f>SUM(C10:C27)</f>
        <v>11747185.529999999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204869</v>
      </c>
    </row>
    <row r="30" spans="1:4" x14ac:dyDescent="0.2">
      <c r="B30" s="187" t="s">
        <v>760</v>
      </c>
      <c r="C30" s="180">
        <f>SUM(C28:C29)</f>
        <v>11952054.529999999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7133562</v>
      </c>
      <c r="D35" s="182">
        <f t="shared" ref="D35:D40" si="1">ROUND((C35/$C$41)*100,1)</f>
        <v>52.7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23385.639999999665</v>
      </c>
      <c r="D36" s="182">
        <f t="shared" si="1"/>
        <v>0.2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3103274</v>
      </c>
      <c r="D37" s="182">
        <f t="shared" si="1"/>
        <v>22.9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356297</v>
      </c>
      <c r="D38" s="182">
        <f t="shared" si="1"/>
        <v>2.6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2914503</v>
      </c>
      <c r="D39" s="182">
        <f t="shared" si="1"/>
        <v>21.5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13531021.640000001</v>
      </c>
      <c r="D41" s="184">
        <f>SUM(D35:D40)</f>
        <v>99.9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5E265-4F84-4F1A-AD0C-6FA87AE33618}">
  <sheetPr>
    <tabColor indexed="17"/>
  </sheetPr>
  <dimension ref="A1:IV90"/>
  <sheetViews>
    <sheetView workbookViewId="0">
      <pane ySplit="3" topLeftCell="A4" activePane="bottomLeft" state="frozen"/>
      <selection pane="bottomLeft" activeCell="C9" sqref="C9:M9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Seabrook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5</v>
      </c>
      <c r="B4" s="220">
        <v>2</v>
      </c>
      <c r="C4" s="280" t="s">
        <v>894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5</v>
      </c>
      <c r="B5" s="220">
        <v>14</v>
      </c>
      <c r="C5" s="280" t="s">
        <v>895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5</v>
      </c>
      <c r="B6" s="220">
        <v>18</v>
      </c>
      <c r="C6" s="280" t="s">
        <v>896</v>
      </c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 t="s">
        <v>897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2010-12-03T17:41:30Z</cp:lastPrinted>
  <dcterms:created xsi:type="dcterms:W3CDTF">1997-12-04T19:04:30Z</dcterms:created>
  <dcterms:modified xsi:type="dcterms:W3CDTF">2025-01-09T20:24:38Z</dcterms:modified>
</cp:coreProperties>
</file>