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68E94B08-D571-499D-BD39-25C05EDB0266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4152CF01-7221-4940-A255-36BF27C4640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2" l="1"/>
  <c r="B19" i="12"/>
  <c r="C12" i="12"/>
  <c r="J594" i="1"/>
  <c r="I594" i="1"/>
  <c r="J269" i="1"/>
  <c r="L269" i="1" s="1"/>
  <c r="I269" i="1"/>
  <c r="J458" i="1"/>
  <c r="G449" i="1"/>
  <c r="I558" i="1"/>
  <c r="I560" i="1" s="1"/>
  <c r="I561" i="1" s="1"/>
  <c r="G518" i="1"/>
  <c r="L518" i="1" s="1"/>
  <c r="G541" i="1" s="1"/>
  <c r="G517" i="1"/>
  <c r="G519" i="1" s="1"/>
  <c r="G516" i="1"/>
  <c r="F518" i="1"/>
  <c r="F517" i="1"/>
  <c r="F516" i="1"/>
  <c r="J512" i="1"/>
  <c r="J511" i="1"/>
  <c r="I513" i="1"/>
  <c r="I512" i="1"/>
  <c r="I511" i="1"/>
  <c r="G513" i="1"/>
  <c r="L513" i="1" s="1"/>
  <c r="F541" i="1" s="1"/>
  <c r="G512" i="1"/>
  <c r="L512" i="1" s="1"/>
  <c r="F540" i="1" s="1"/>
  <c r="G511" i="1"/>
  <c r="L511" i="1" s="1"/>
  <c r="F513" i="1"/>
  <c r="F512" i="1"/>
  <c r="F511" i="1"/>
  <c r="F492" i="1"/>
  <c r="F489" i="1"/>
  <c r="G432" i="1"/>
  <c r="H392" i="1"/>
  <c r="F88" i="1"/>
  <c r="F49" i="1"/>
  <c r="H23" i="1"/>
  <c r="E22" i="2" s="1"/>
  <c r="E32" i="2" s="1"/>
  <c r="G23" i="1"/>
  <c r="D22" i="2" s="1"/>
  <c r="D32" i="2" s="1"/>
  <c r="F12" i="1"/>
  <c r="F19" i="1" s="1"/>
  <c r="G607" i="1" s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190" i="1"/>
  <c r="L191" i="1"/>
  <c r="L192" i="1"/>
  <c r="L207" i="1"/>
  <c r="C10" i="10" s="1"/>
  <c r="L208" i="1"/>
  <c r="L209" i="1"/>
  <c r="L210" i="1"/>
  <c r="L225" i="1"/>
  <c r="L239" i="1" s="1"/>
  <c r="L226" i="1"/>
  <c r="C11" i="10" s="1"/>
  <c r="L227" i="1"/>
  <c r="C103" i="2" s="1"/>
  <c r="L228" i="1"/>
  <c r="F6" i="13"/>
  <c r="G6" i="13"/>
  <c r="G33" i="13" s="1"/>
  <c r="L194" i="1"/>
  <c r="C15" i="10" s="1"/>
  <c r="L212" i="1"/>
  <c r="L230" i="1"/>
  <c r="F7" i="13"/>
  <c r="G7" i="13"/>
  <c r="L195" i="1"/>
  <c r="D7" i="13" s="1"/>
  <c r="C7" i="13" s="1"/>
  <c r="L213" i="1"/>
  <c r="L221" i="1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C21" i="10" s="1"/>
  <c r="L218" i="1"/>
  <c r="L236" i="1"/>
  <c r="F17" i="13"/>
  <c r="G17" i="13"/>
  <c r="L243" i="1"/>
  <c r="C24" i="10" s="1"/>
  <c r="D17" i="13"/>
  <c r="C17" i="13" s="1"/>
  <c r="F18" i="13"/>
  <c r="G18" i="13"/>
  <c r="L244" i="1"/>
  <c r="D18" i="13"/>
  <c r="C18" i="13" s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G651" i="1" s="1"/>
  <c r="L352" i="1"/>
  <c r="I359" i="1"/>
  <c r="J282" i="1"/>
  <c r="F31" i="13" s="1"/>
  <c r="J301" i="1"/>
  <c r="J320" i="1"/>
  <c r="K282" i="1"/>
  <c r="K301" i="1"/>
  <c r="K320" i="1"/>
  <c r="G31" i="13"/>
  <c r="L268" i="1"/>
  <c r="E101" i="2" s="1"/>
  <c r="L270" i="1"/>
  <c r="L271" i="1"/>
  <c r="L273" i="1"/>
  <c r="L274" i="1"/>
  <c r="L275" i="1"/>
  <c r="C17" i="10" s="1"/>
  <c r="L276" i="1"/>
  <c r="L277" i="1"/>
  <c r="L278" i="1"/>
  <c r="L279" i="1"/>
  <c r="E116" i="2" s="1"/>
  <c r="L280" i="1"/>
  <c r="E117" i="2" s="1"/>
  <c r="L287" i="1"/>
  <c r="L288" i="1"/>
  <c r="L289" i="1"/>
  <c r="L290" i="1"/>
  <c r="L301" i="1" s="1"/>
  <c r="L292" i="1"/>
  <c r="L293" i="1"/>
  <c r="L294" i="1"/>
  <c r="L295" i="1"/>
  <c r="L296" i="1"/>
  <c r="L297" i="1"/>
  <c r="E115" i="2" s="1"/>
  <c r="L298" i="1"/>
  <c r="G652" i="1" s="1"/>
  <c r="L299" i="1"/>
  <c r="L306" i="1"/>
  <c r="L307" i="1"/>
  <c r="L308" i="1"/>
  <c r="L320" i="1" s="1"/>
  <c r="L309" i="1"/>
  <c r="L311" i="1"/>
  <c r="L312" i="1"/>
  <c r="L313" i="1"/>
  <c r="L314" i="1"/>
  <c r="L315" i="1"/>
  <c r="L316" i="1"/>
  <c r="L317" i="1"/>
  <c r="H652" i="1" s="1"/>
  <c r="L318" i="1"/>
  <c r="L325" i="1"/>
  <c r="L326" i="1"/>
  <c r="L327" i="1"/>
  <c r="L252" i="1"/>
  <c r="H25" i="13" s="1"/>
  <c r="L253" i="1"/>
  <c r="C124" i="2" s="1"/>
  <c r="L333" i="1"/>
  <c r="E123" i="2" s="1"/>
  <c r="E136" i="2" s="1"/>
  <c r="L334" i="1"/>
  <c r="L247" i="1"/>
  <c r="C29" i="10" s="1"/>
  <c r="L328" i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A22" i="12" s="1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/>
  <c r="G55" i="2" s="1"/>
  <c r="G51" i="2"/>
  <c r="G54" i="2" s="1"/>
  <c r="G53" i="2"/>
  <c r="F2" i="11"/>
  <c r="L603" i="1"/>
  <c r="H653" i="1"/>
  <c r="L602" i="1"/>
  <c r="G653" i="1" s="1"/>
  <c r="L601" i="1"/>
  <c r="F653" i="1" s="1"/>
  <c r="C40" i="10"/>
  <c r="F52" i="1"/>
  <c r="F104" i="1" s="1"/>
  <c r="G52" i="1"/>
  <c r="G104" i="1" s="1"/>
  <c r="G185" i="1" s="1"/>
  <c r="G618" i="1" s="1"/>
  <c r="J618" i="1" s="1"/>
  <c r="H52" i="1"/>
  <c r="I52" i="1"/>
  <c r="F71" i="1"/>
  <c r="C49" i="2" s="1"/>
  <c r="C54" i="2" s="1"/>
  <c r="F86" i="1"/>
  <c r="C50" i="2" s="1"/>
  <c r="F103" i="1"/>
  <c r="G103" i="1"/>
  <c r="H71" i="1"/>
  <c r="H104" i="1" s="1"/>
  <c r="H185" i="1" s="1"/>
  <c r="G619" i="1" s="1"/>
  <c r="J619" i="1" s="1"/>
  <c r="H86" i="1"/>
  <c r="H103" i="1"/>
  <c r="I103" i="1"/>
  <c r="I104" i="1"/>
  <c r="J103" i="1"/>
  <c r="J104" i="1"/>
  <c r="J185" i="1" s="1"/>
  <c r="C37" i="10"/>
  <c r="F113" i="1"/>
  <c r="F128" i="1"/>
  <c r="F132" i="1"/>
  <c r="G113" i="1"/>
  <c r="G132" i="1" s="1"/>
  <c r="G128" i="1"/>
  <c r="H113" i="1"/>
  <c r="H128" i="1"/>
  <c r="H132" i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/>
  <c r="H139" i="1"/>
  <c r="H161" i="1" s="1"/>
  <c r="H154" i="1"/>
  <c r="I139" i="1"/>
  <c r="I154" i="1"/>
  <c r="I161" i="1" s="1"/>
  <c r="C13" i="10"/>
  <c r="C18" i="10"/>
  <c r="C20" i="10"/>
  <c r="L242" i="1"/>
  <c r="L324" i="1"/>
  <c r="C23" i="10"/>
  <c r="L246" i="1"/>
  <c r="L260" i="1"/>
  <c r="L261" i="1"/>
  <c r="L341" i="1"/>
  <c r="E134" i="2" s="1"/>
  <c r="L342" i="1"/>
  <c r="E135" i="2" s="1"/>
  <c r="C26" i="10"/>
  <c r="I655" i="1"/>
  <c r="I660" i="1"/>
  <c r="I659" i="1"/>
  <c r="C42" i="10"/>
  <c r="L366" i="1"/>
  <c r="L367" i="1"/>
  <c r="L368" i="1"/>
  <c r="L369" i="1"/>
  <c r="L370" i="1"/>
  <c r="F122" i="2" s="1"/>
  <c r="F136" i="2" s="1"/>
  <c r="L371" i="1"/>
  <c r="L372" i="1"/>
  <c r="B2" i="10"/>
  <c r="L336" i="1"/>
  <c r="L337" i="1"/>
  <c r="L338" i="1"/>
  <c r="L339" i="1"/>
  <c r="K343" i="1"/>
  <c r="L516" i="1"/>
  <c r="G539" i="1"/>
  <c r="L521" i="1"/>
  <c r="H539" i="1" s="1"/>
  <c r="H542" i="1" s="1"/>
  <c r="L522" i="1"/>
  <c r="H540" i="1" s="1"/>
  <c r="L523" i="1"/>
  <c r="H541" i="1"/>
  <c r="L526" i="1"/>
  <c r="I539" i="1"/>
  <c r="I542" i="1" s="1"/>
  <c r="L527" i="1"/>
  <c r="I540" i="1"/>
  <c r="L528" i="1"/>
  <c r="I541" i="1"/>
  <c r="L531" i="1"/>
  <c r="J539" i="1" s="1"/>
  <c r="J542" i="1" s="1"/>
  <c r="L532" i="1"/>
  <c r="J540" i="1"/>
  <c r="L533" i="1"/>
  <c r="L534" i="1" s="1"/>
  <c r="J541" i="1"/>
  <c r="E124" i="2"/>
  <c r="K262" i="1"/>
  <c r="J262" i="1"/>
  <c r="I262" i="1"/>
  <c r="H262" i="1"/>
  <c r="G262" i="1"/>
  <c r="F262" i="1"/>
  <c r="L262" i="1" s="1"/>
  <c r="A1" i="2"/>
  <c r="A2" i="2"/>
  <c r="C9" i="2"/>
  <c r="D9" i="2"/>
  <c r="E9" i="2"/>
  <c r="F9" i="2"/>
  <c r="I431" i="1"/>
  <c r="J9" i="1"/>
  <c r="J19" i="1" s="1"/>
  <c r="G611" i="1" s="1"/>
  <c r="G9" i="2"/>
  <c r="C10" i="2"/>
  <c r="D10" i="2"/>
  <c r="E10" i="2"/>
  <c r="F10" i="2"/>
  <c r="I432" i="1"/>
  <c r="J10" i="1" s="1"/>
  <c r="G10" i="2" s="1"/>
  <c r="C11" i="2"/>
  <c r="D12" i="2"/>
  <c r="E12" i="2"/>
  <c r="E19" i="2" s="1"/>
  <c r="F12" i="2"/>
  <c r="F19" i="2" s="1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D19" i="2" s="1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F22" i="2"/>
  <c r="I440" i="1"/>
  <c r="J23" i="1"/>
  <c r="G22" i="2"/>
  <c r="C23" i="2"/>
  <c r="C32" i="2" s="1"/>
  <c r="D23" i="2"/>
  <c r="E23" i="2"/>
  <c r="F23" i="2"/>
  <c r="I441" i="1"/>
  <c r="J24" i="1" s="1"/>
  <c r="C24" i="2"/>
  <c r="D24" i="2"/>
  <c r="E24" i="2"/>
  <c r="F24" i="2"/>
  <c r="F32" i="2" s="1"/>
  <c r="I442" i="1"/>
  <c r="I444" i="1" s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C43" i="2" s="1"/>
  <c r="D34" i="2"/>
  <c r="D42" i="2" s="1"/>
  <c r="E34" i="2"/>
  <c r="E42" i="2" s="1"/>
  <c r="E43" i="2" s="1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/>
  <c r="G36" i="2"/>
  <c r="G42" i="2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C55" i="2" s="1"/>
  <c r="C96" i="2" s="1"/>
  <c r="D48" i="2"/>
  <c r="E48" i="2"/>
  <c r="F48" i="2"/>
  <c r="E49" i="2"/>
  <c r="E54" i="2" s="1"/>
  <c r="E55" i="2" s="1"/>
  <c r="E50" i="2"/>
  <c r="C51" i="2"/>
  <c r="D51" i="2"/>
  <c r="E51" i="2"/>
  <c r="F51" i="2"/>
  <c r="F54" i="2" s="1"/>
  <c r="F55" i="2" s="1"/>
  <c r="D52" i="2"/>
  <c r="D54" i="2" s="1"/>
  <c r="D55" i="2" s="1"/>
  <c r="C53" i="2"/>
  <c r="D53" i="2"/>
  <c r="E53" i="2"/>
  <c r="F53" i="2"/>
  <c r="C58" i="2"/>
  <c r="C62" i="2" s="1"/>
  <c r="C59" i="2"/>
  <c r="C61" i="2"/>
  <c r="D61" i="2"/>
  <c r="D62" i="2" s="1"/>
  <c r="E61" i="2"/>
  <c r="F61" i="2"/>
  <c r="G61" i="2"/>
  <c r="E62" i="2"/>
  <c r="F62" i="2"/>
  <c r="G62" i="2"/>
  <c r="G73" i="2" s="1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D73" i="2" s="1"/>
  <c r="E69" i="2"/>
  <c r="E70" i="2" s="1"/>
  <c r="E73" i="2" s="1"/>
  <c r="F69" i="2"/>
  <c r="G69" i="2"/>
  <c r="G70" i="2"/>
  <c r="C71" i="2"/>
  <c r="D71" i="2"/>
  <c r="E71" i="2"/>
  <c r="C72" i="2"/>
  <c r="E72" i="2"/>
  <c r="C77" i="2"/>
  <c r="D77" i="2"/>
  <c r="F77" i="2"/>
  <c r="C79" i="2"/>
  <c r="E79" i="2"/>
  <c r="F79" i="2"/>
  <c r="F83" i="2" s="1"/>
  <c r="C80" i="2"/>
  <c r="D80" i="2"/>
  <c r="E80" i="2"/>
  <c r="F80" i="2"/>
  <c r="C81" i="2"/>
  <c r="D81" i="2"/>
  <c r="E81" i="2"/>
  <c r="F81" i="2"/>
  <c r="C82" i="2"/>
  <c r="C83" i="2"/>
  <c r="D83" i="2"/>
  <c r="C85" i="2"/>
  <c r="F85" i="2"/>
  <c r="C86" i="2"/>
  <c r="F86" i="2"/>
  <c r="F95" i="2" s="1"/>
  <c r="D88" i="2"/>
  <c r="E88" i="2"/>
  <c r="F88" i="2"/>
  <c r="G88" i="2"/>
  <c r="C89" i="2"/>
  <c r="D89" i="2"/>
  <c r="E89" i="2"/>
  <c r="E95" i="2" s="1"/>
  <c r="F89" i="2"/>
  <c r="G89" i="2"/>
  <c r="G95" i="2" s="1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103" i="2"/>
  <c r="C104" i="2"/>
  <c r="E104" i="2"/>
  <c r="C105" i="2"/>
  <c r="E105" i="2"/>
  <c r="E106" i="2"/>
  <c r="D107" i="2"/>
  <c r="F107" i="2"/>
  <c r="G107" i="2"/>
  <c r="C110" i="2"/>
  <c r="E110" i="2"/>
  <c r="E120" i="2" s="1"/>
  <c r="E111" i="2"/>
  <c r="C112" i="2"/>
  <c r="E112" i="2"/>
  <c r="C113" i="2"/>
  <c r="E113" i="2"/>
  <c r="E114" i="2"/>
  <c r="C115" i="2"/>
  <c r="C116" i="2"/>
  <c r="C117" i="2"/>
  <c r="F120" i="2"/>
  <c r="G120" i="2"/>
  <c r="C122" i="2"/>
  <c r="E122" i="2"/>
  <c r="D126" i="2"/>
  <c r="E126" i="2"/>
  <c r="F126" i="2"/>
  <c r="K411" i="1"/>
  <c r="K419" i="1"/>
  <c r="K426" i="1" s="1"/>
  <c r="G126" i="2" s="1"/>
  <c r="G136" i="2" s="1"/>
  <c r="K425" i="1"/>
  <c r="L255" i="1"/>
  <c r="C127" i="2"/>
  <c r="E127" i="2"/>
  <c r="L256" i="1"/>
  <c r="C128" i="2" s="1"/>
  <c r="L257" i="1"/>
  <c r="C129" i="2" s="1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490" i="1"/>
  <c r="C153" i="2"/>
  <c r="H490" i="1"/>
  <c r="D153" i="2" s="1"/>
  <c r="I490" i="1"/>
  <c r="E153" i="2"/>
  <c r="J490" i="1"/>
  <c r="F153" i="2" s="1"/>
  <c r="B154" i="2"/>
  <c r="C154" i="2"/>
  <c r="G154" i="2" s="1"/>
  <c r="D154" i="2"/>
  <c r="E154" i="2"/>
  <c r="F154" i="2"/>
  <c r="B155" i="2"/>
  <c r="C155" i="2"/>
  <c r="G155" i="2" s="1"/>
  <c r="D155" i="2"/>
  <c r="E155" i="2"/>
  <c r="F155" i="2"/>
  <c r="F493" i="1"/>
  <c r="B156" i="2"/>
  <c r="G493" i="1"/>
  <c r="K493" i="1" s="1"/>
  <c r="H493" i="1"/>
  <c r="D156" i="2" s="1"/>
  <c r="I493" i="1"/>
  <c r="E156" i="2"/>
  <c r="J493" i="1"/>
  <c r="F156" i="2"/>
  <c r="G19" i="1"/>
  <c r="H19" i="1"/>
  <c r="I19" i="1"/>
  <c r="F33" i="1"/>
  <c r="I33" i="1"/>
  <c r="I44" i="1" s="1"/>
  <c r="H610" i="1" s="1"/>
  <c r="J610" i="1" s="1"/>
  <c r="F43" i="1"/>
  <c r="F44" i="1" s="1"/>
  <c r="H607" i="1" s="1"/>
  <c r="G43" i="1"/>
  <c r="H43" i="1"/>
  <c r="I43" i="1"/>
  <c r="F169" i="1"/>
  <c r="F184" i="1" s="1"/>
  <c r="I169" i="1"/>
  <c r="F175" i="1"/>
  <c r="G175" i="1"/>
  <c r="H175" i="1"/>
  <c r="I175" i="1"/>
  <c r="J175" i="1"/>
  <c r="F180" i="1"/>
  <c r="G180" i="1"/>
  <c r="H180" i="1"/>
  <c r="I180" i="1"/>
  <c r="G184" i="1"/>
  <c r="H184" i="1"/>
  <c r="I184" i="1"/>
  <c r="J184" i="1"/>
  <c r="F203" i="1"/>
  <c r="F249" i="1" s="1"/>
  <c r="F263" i="1" s="1"/>
  <c r="G203" i="1"/>
  <c r="G249" i="1" s="1"/>
  <c r="G263" i="1" s="1"/>
  <c r="H203" i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H249" i="1"/>
  <c r="H263" i="1" s="1"/>
  <c r="I249" i="1"/>
  <c r="I263" i="1" s="1"/>
  <c r="J249" i="1"/>
  <c r="H638" i="1" s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H393" i="1"/>
  <c r="I393" i="1"/>
  <c r="I400" i="1" s="1"/>
  <c r="F399" i="1"/>
  <c r="G399" i="1"/>
  <c r="G400" i="1" s="1"/>
  <c r="H635" i="1" s="1"/>
  <c r="J635" i="1" s="1"/>
  <c r="H399" i="1"/>
  <c r="H400" i="1" s="1"/>
  <c r="H634" i="1" s="1"/>
  <c r="J634" i="1" s="1"/>
  <c r="I399" i="1"/>
  <c r="L405" i="1"/>
  <c r="L406" i="1"/>
  <c r="L407" i="1"/>
  <c r="L411" i="1" s="1"/>
  <c r="L408" i="1"/>
  <c r="L409" i="1"/>
  <c r="L410" i="1"/>
  <c r="F411" i="1"/>
  <c r="F426" i="1" s="1"/>
  <c r="G411" i="1"/>
  <c r="H411" i="1"/>
  <c r="H426" i="1" s="1"/>
  <c r="I411" i="1"/>
  <c r="I426" i="1" s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G426" i="1" s="1"/>
  <c r="H425" i="1"/>
  <c r="I425" i="1"/>
  <c r="J425" i="1"/>
  <c r="J426" i="1"/>
  <c r="F438" i="1"/>
  <c r="G629" i="1" s="1"/>
  <c r="J629" i="1" s="1"/>
  <c r="G438" i="1"/>
  <c r="G630" i="1" s="1"/>
  <c r="H438" i="1"/>
  <c r="F444" i="1"/>
  <c r="G444" i="1"/>
  <c r="H444" i="1"/>
  <c r="F450" i="1"/>
  <c r="G450" i="1"/>
  <c r="H450" i="1"/>
  <c r="H451" i="1" s="1"/>
  <c r="H631" i="1" s="1"/>
  <c r="J631" i="1" s="1"/>
  <c r="F451" i="1"/>
  <c r="G451" i="1"/>
  <c r="H630" i="1" s="1"/>
  <c r="F460" i="1"/>
  <c r="F466" i="1" s="1"/>
  <c r="H612" i="1" s="1"/>
  <c r="G460" i="1"/>
  <c r="G466" i="1" s="1"/>
  <c r="H613" i="1" s="1"/>
  <c r="H460" i="1"/>
  <c r="I460" i="1"/>
  <c r="I466" i="1" s="1"/>
  <c r="H615" i="1" s="1"/>
  <c r="J615" i="1" s="1"/>
  <c r="J460" i="1"/>
  <c r="J466" i="1" s="1"/>
  <c r="H616" i="1" s="1"/>
  <c r="F464" i="1"/>
  <c r="G464" i="1"/>
  <c r="H464" i="1"/>
  <c r="H466" i="1" s="1"/>
  <c r="H614" i="1" s="1"/>
  <c r="J614" i="1" s="1"/>
  <c r="I464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H514" i="1"/>
  <c r="H535" i="1" s="1"/>
  <c r="I514" i="1"/>
  <c r="I535" i="1" s="1"/>
  <c r="J514" i="1"/>
  <c r="J535" i="1" s="1"/>
  <c r="K514" i="1"/>
  <c r="F519" i="1"/>
  <c r="H519" i="1"/>
  <c r="I519" i="1"/>
  <c r="J519" i="1"/>
  <c r="K519" i="1"/>
  <c r="F524" i="1"/>
  <c r="F535" i="1" s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/>
  <c r="L547" i="1"/>
  <c r="L548" i="1"/>
  <c r="L549" i="1"/>
  <c r="F550" i="1"/>
  <c r="F561" i="1" s="1"/>
  <c r="G550" i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G561" i="1" s="1"/>
  <c r="H555" i="1"/>
  <c r="I555" i="1"/>
  <c r="J555" i="1"/>
  <c r="K555" i="1"/>
  <c r="L557" i="1"/>
  <c r="L560" i="1" s="1"/>
  <c r="L558" i="1"/>
  <c r="L559" i="1"/>
  <c r="F560" i="1"/>
  <c r="G560" i="1"/>
  <c r="H560" i="1"/>
  <c r="J560" i="1"/>
  <c r="K560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J639" i="1" s="1"/>
  <c r="I588" i="1"/>
  <c r="H640" i="1" s="1"/>
  <c r="J640" i="1" s="1"/>
  <c r="J588" i="1"/>
  <c r="K592" i="1"/>
  <c r="K593" i="1"/>
  <c r="K595" i="1" s="1"/>
  <c r="G638" i="1" s="1"/>
  <c r="J638" i="1" s="1"/>
  <c r="K594" i="1"/>
  <c r="H595" i="1"/>
  <c r="I595" i="1"/>
  <c r="J595" i="1"/>
  <c r="F604" i="1"/>
  <c r="G604" i="1"/>
  <c r="H604" i="1"/>
  <c r="I604" i="1"/>
  <c r="J604" i="1"/>
  <c r="K604" i="1"/>
  <c r="G608" i="1"/>
  <c r="G609" i="1"/>
  <c r="G610" i="1"/>
  <c r="G613" i="1"/>
  <c r="J613" i="1" s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1" i="1"/>
  <c r="G633" i="1"/>
  <c r="J633" i="1" s="1"/>
  <c r="G634" i="1"/>
  <c r="G635" i="1"/>
  <c r="H637" i="1"/>
  <c r="G639" i="1"/>
  <c r="G640" i="1"/>
  <c r="G641" i="1"/>
  <c r="J641" i="1" s="1"/>
  <c r="H641" i="1"/>
  <c r="G642" i="1"/>
  <c r="H642" i="1"/>
  <c r="J642" i="1"/>
  <c r="G643" i="1"/>
  <c r="H643" i="1"/>
  <c r="J643" i="1"/>
  <c r="G644" i="1"/>
  <c r="H644" i="1"/>
  <c r="J644" i="1"/>
  <c r="G645" i="1"/>
  <c r="J645" i="1" s="1"/>
  <c r="H645" i="1"/>
  <c r="J43" i="1" l="1"/>
  <c r="D43" i="2"/>
  <c r="I185" i="1"/>
  <c r="G620" i="1" s="1"/>
  <c r="J620" i="1" s="1"/>
  <c r="F185" i="1"/>
  <c r="G617" i="1" s="1"/>
  <c r="J617" i="1" s="1"/>
  <c r="K541" i="1"/>
  <c r="G636" i="1"/>
  <c r="G621" i="1"/>
  <c r="J621" i="1" s="1"/>
  <c r="H33" i="13"/>
  <c r="C25" i="13"/>
  <c r="L514" i="1"/>
  <c r="F539" i="1"/>
  <c r="L426" i="1"/>
  <c r="G628" i="1" s="1"/>
  <c r="J628" i="1" s="1"/>
  <c r="G32" i="2"/>
  <c r="G43" i="2" s="1"/>
  <c r="I653" i="1"/>
  <c r="C5" i="13"/>
  <c r="C136" i="2"/>
  <c r="I451" i="1"/>
  <c r="H632" i="1" s="1"/>
  <c r="L282" i="1"/>
  <c r="E102" i="2"/>
  <c r="E107" i="2" s="1"/>
  <c r="E137" i="2" s="1"/>
  <c r="D96" i="2"/>
  <c r="L400" i="1"/>
  <c r="C130" i="2"/>
  <c r="C133" i="2" s="1"/>
  <c r="G650" i="1"/>
  <c r="G654" i="1" s="1"/>
  <c r="H650" i="1"/>
  <c r="E33" i="13"/>
  <c r="D35" i="13" s="1"/>
  <c r="C8" i="13"/>
  <c r="J624" i="1"/>
  <c r="G137" i="2"/>
  <c r="F96" i="2"/>
  <c r="C38" i="10"/>
  <c r="L561" i="1"/>
  <c r="J630" i="1"/>
  <c r="F137" i="2"/>
  <c r="C39" i="10"/>
  <c r="J607" i="1"/>
  <c r="G153" i="2"/>
  <c r="G23" i="2"/>
  <c r="J33" i="1"/>
  <c r="G19" i="2"/>
  <c r="G96" i="2"/>
  <c r="I450" i="1"/>
  <c r="C102" i="2"/>
  <c r="G514" i="1"/>
  <c r="G535" i="1" s="1"/>
  <c r="H33" i="1"/>
  <c r="H44" i="1" s="1"/>
  <c r="H609" i="1" s="1"/>
  <c r="J609" i="1" s="1"/>
  <c r="C101" i="2"/>
  <c r="L203" i="1"/>
  <c r="C35" i="10"/>
  <c r="L517" i="1"/>
  <c r="C19" i="10"/>
  <c r="C114" i="2"/>
  <c r="G612" i="1"/>
  <c r="J612" i="1" s="1"/>
  <c r="J263" i="1"/>
  <c r="G33" i="1"/>
  <c r="G44" i="1" s="1"/>
  <c r="H608" i="1" s="1"/>
  <c r="J608" i="1" s="1"/>
  <c r="E77" i="2"/>
  <c r="E83" i="2" s="1"/>
  <c r="E96" i="2" s="1"/>
  <c r="C12" i="2"/>
  <c r="C19" i="2" s="1"/>
  <c r="L343" i="1"/>
  <c r="F652" i="1"/>
  <c r="I652" i="1" s="1"/>
  <c r="C16" i="10"/>
  <c r="D15" i="13"/>
  <c r="C15" i="13" s="1"/>
  <c r="D6" i="13"/>
  <c r="C6" i="13" s="1"/>
  <c r="C106" i="2"/>
  <c r="C25" i="10"/>
  <c r="C156" i="2"/>
  <c r="G156" i="2" s="1"/>
  <c r="D119" i="2"/>
  <c r="D120" i="2" s="1"/>
  <c r="D137" i="2" s="1"/>
  <c r="H651" i="1"/>
  <c r="F22" i="13"/>
  <c r="C22" i="13" s="1"/>
  <c r="C32" i="10"/>
  <c r="C12" i="10"/>
  <c r="L604" i="1"/>
  <c r="C111" i="2"/>
  <c r="C120" i="2" s="1"/>
  <c r="F651" i="1"/>
  <c r="I651" i="1" s="1"/>
  <c r="L354" i="1"/>
  <c r="I438" i="1"/>
  <c r="G632" i="1" s="1"/>
  <c r="L374" i="1"/>
  <c r="G626" i="1" s="1"/>
  <c r="J626" i="1" s="1"/>
  <c r="C123" i="2"/>
  <c r="G540" i="1" l="1"/>
  <c r="L519" i="1"/>
  <c r="C36" i="10"/>
  <c r="C107" i="2"/>
  <c r="C137" i="2" s="1"/>
  <c r="L249" i="1"/>
  <c r="L263" i="1" s="1"/>
  <c r="G622" i="1" s="1"/>
  <c r="J622" i="1" s="1"/>
  <c r="F650" i="1"/>
  <c r="D31" i="13"/>
  <c r="C31" i="13" s="1"/>
  <c r="L330" i="1"/>
  <c r="L344" i="1" s="1"/>
  <c r="G623" i="1" s="1"/>
  <c r="J623" i="1" s="1"/>
  <c r="H654" i="1"/>
  <c r="G662" i="1"/>
  <c r="C5" i="10" s="1"/>
  <c r="G657" i="1"/>
  <c r="K539" i="1"/>
  <c r="F542" i="1"/>
  <c r="L535" i="1"/>
  <c r="F33" i="13"/>
  <c r="C28" i="10"/>
  <c r="G627" i="1"/>
  <c r="J627" i="1" s="1"/>
  <c r="H636" i="1"/>
  <c r="J636" i="1" s="1"/>
  <c r="J632" i="1"/>
  <c r="C27" i="10"/>
  <c r="G625" i="1"/>
  <c r="J625" i="1" s="1"/>
  <c r="G616" i="1"/>
  <c r="J44" i="1"/>
  <c r="H611" i="1" s="1"/>
  <c r="J611" i="1" s="1"/>
  <c r="I650" i="1" l="1"/>
  <c r="I654" i="1" s="1"/>
  <c r="F654" i="1"/>
  <c r="C30" i="10"/>
  <c r="D22" i="10"/>
  <c r="D18" i="10"/>
  <c r="D24" i="10"/>
  <c r="D23" i="10"/>
  <c r="D21" i="10"/>
  <c r="D10" i="10"/>
  <c r="D17" i="10"/>
  <c r="D26" i="10"/>
  <c r="D11" i="10"/>
  <c r="D20" i="10"/>
  <c r="D13" i="10"/>
  <c r="D15" i="10"/>
  <c r="D12" i="10"/>
  <c r="J616" i="1"/>
  <c r="H646" i="1"/>
  <c r="D16" i="10"/>
  <c r="D27" i="10"/>
  <c r="D19" i="10"/>
  <c r="C41" i="10"/>
  <c r="D25" i="10"/>
  <c r="K542" i="1"/>
  <c r="H662" i="1"/>
  <c r="C6" i="10" s="1"/>
  <c r="H657" i="1"/>
  <c r="G542" i="1"/>
  <c r="K540" i="1"/>
  <c r="D33" i="13"/>
  <c r="D36" i="13" s="1"/>
  <c r="D37" i="10" l="1"/>
  <c r="D40" i="10"/>
  <c r="D38" i="10"/>
  <c r="D35" i="10"/>
  <c r="D39" i="10"/>
  <c r="D28" i="10"/>
  <c r="I662" i="1"/>
  <c r="C7" i="10" s="1"/>
  <c r="I657" i="1"/>
  <c r="D36" i="10"/>
  <c r="F662" i="1"/>
  <c r="C4" i="10" s="1"/>
  <c r="F657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CFBB8EFE-C737-4EAF-80F6-0BBC35448D66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92B10BF-68A7-4F50-8BB5-730BA222B67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214B02F-52B1-4CFB-B7A1-7688573AD0A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22D9A04-8DCF-447D-98F2-0D0F7655712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A100A74-3C33-4FCA-9264-D8F1FBBF735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9030ADA-E8EC-438B-B1F5-8F7FF843A01A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89726C4-6F28-4FF4-B10A-51E1434A947F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472734D-9E6C-4EBB-BD4D-90DD91BAB4F4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FAEDB42-9C44-44E1-A3BE-D13CB001CD9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2F68DEF9-B146-401A-A528-F9C3275E9BC4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FC0120C-3678-43A4-B575-5D552EA96421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9FCE26C-D019-48E4-8864-7184E1205135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<sst xmlns="http://schemas.openxmlformats.org/spreadsheetml/2006/main" count="3860" uniqueCount="897">
  <si>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</si>
  <si>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</si>
  <si>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</si>
  <si>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</si>
  <si>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</si>
  <si>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</si>
  <si>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</si>
  <si>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</si>
  <si>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</si>
  <si>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</si>
  <si>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</si>
  <si>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</si>
  <si>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</si>
  <si>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</si>
  <si>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</si>
  <si>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</si>
  <si>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</si>
  <si>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</si>
  <si>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</si>
  <si>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</si>
  <si>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</si>
  <si>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</si>
  <si>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</si>
  <si>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</si>
  <si>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</si>
  <si>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</si>
  <si>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</si>
  <si>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</si>
  <si>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</si>
  <si>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</si>
  <si>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</si>
  <si>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</si>
  <si>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</si>
  <si>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</si>
  <si>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</si>
  <si>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</si>
  <si>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</si>
  <si>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</si>
  <si>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</si>
  <si>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</si>
  <si>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</si>
  <si>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</si>
  <si>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</si>
  <si>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</si>
  <si>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</si>
  <si>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</si>
  <si>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</si>
  <si>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</si>
  <si>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</si>
  <si>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</si>
  <si>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</si>
  <si>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</si>
  <si>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</si>
  <si>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</si>
  <si>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</si>
  <si>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</si>
  <si>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</si>
  <si>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</si>
  <si>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</si>
  <si>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</si>
  <si>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</si>
  <si>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</si>
  <si>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</si>
  <si>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</si>
  <si>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</si>
  <si>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</si>
  <si>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</si>
  <si>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</si>
  <si>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</si>
  <si>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</si>
  <si>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</si>
  <si>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</si>
  <si>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</si>
  <si>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</si>
  <si>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</si>
  <si>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</si>
  <si>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</si>
  <si>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</si>
  <si>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</si>
  <si>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</si>
  <si>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</si>
  <si>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</si>
  <si>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</si>
  <si>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</si>
  <si>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</si>
  <si>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</si>
  <si>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</si>
  <si>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</si>
  <si>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</si>
  <si>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</si>
  <si>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</si>
  <si>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</si>
  <si>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</si>
  <si>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</si>
  <si>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</si>
  <si>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</si>
  <si>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</si>
  <si>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</si>
  <si>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</si>
  <si>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</si>
  <si>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</si>
  <si>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</si>
  <si>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</si>
  <si>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</si>
  <si>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</si>
  <si>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</si>
  <si>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</si>
  <si>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</si>
  <si>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</si>
  <si>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</si>
  <si>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</si>
  <si>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</si>
  <si>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</si>
  <si>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</si>
  <si>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</si>
  <si>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</si>
  <si>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</si>
  <si>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</si>
  <si>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</si>
  <si>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</si>
  <si>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</si>
  <si>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</si>
  <si>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</si>
  <si>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</si>
  <si>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</si>
  <si>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</si>
  <si>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</si>
  <si>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</si>
  <si>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</si>
  <si>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</si>
  <si>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</si>
  <si>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</si>
  <si>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</si>
  <si>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</si>
  <si>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</si>
  <si>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</si>
  <si>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</si>
  <si>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</si>
  <si>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</si>
  <si>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</si>
  <si>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</si>
  <si>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</si>
  <si>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</si>
  <si>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</si>
  <si>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</si>
  <si>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</si>
  <si>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</si>
  <si>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</si>
  <si>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</si>
  <si>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</si>
  <si>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</si>
  <si>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</si>
  <si>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</si>
  <si>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</si>
  <si>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</si>
  <si>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</si>
  <si>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</si>
  <si>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</si>
  <si>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</si>
  <si>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</si>
  <si>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</si>
  <si>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</si>
  <si>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</si>
  <si>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</si>
  <si>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</si>
  <si>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</si>
  <si>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</si>
  <si>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</si>
  <si>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</si>
  <si>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</si>
  <si>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</si>
  <si>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</si>
  <si>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</si>
  <si>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</si>
  <si>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</si>
  <si>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</si>
  <si>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</si>
  <si>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</si>
  <si>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</si>
  <si>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</si>
  <si>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</si>
  <si>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</si>
  <si>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</si>
  <si>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</si>
  <si>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</si>
  <si>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</si>
  <si>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</si>
  <si>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</si>
  <si>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</si>
  <si>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</si>
  <si>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</si>
  <si>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</si>
  <si>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</si>
  <si>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</si>
  <si>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</si>
  <si>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</si>
  <si>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</si>
  <si>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</si>
  <si>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</si>
  <si>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</si>
  <si>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</si>
  <si>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</si>
  <si>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</si>
  <si>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</si>
  <si>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</si>
  <si>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</si>
  <si>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</si>
  <si>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</si>
  <si>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</si>
  <si>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</si>
  <si>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</si>
  <si>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</si>
  <si>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</si>
  <si>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</si>
  <si>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</si>
  <si>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</si>
  <si>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</si>
  <si>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</si>
  <si>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</si>
  <si>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</si>
  <si>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</si>
  <si>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</si>
  <si>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</si>
  <si>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</si>
  <si>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</si>
  <si>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</si>
  <si>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</si>
  <si>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</si>
  <si>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</si>
  <si>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</si>
  <si>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</si>
  <si>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</si>
  <si>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</si>
  <si>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</si>
  <si>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</si>
  <si>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</si>
  <si>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</si>
  <si>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</si>
  <si>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</si>
  <si>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</si>
  <si>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</si>
  <si>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</si>
  <si>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</si>
  <si>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</si>
  <si>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</si>
  <si>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</si>
  <si>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</si>
  <si>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</si>
  <si>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</si>
  <si>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</si>
  <si>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</si>
  <si>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</si>
  <si>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</si>
  <si>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</si>
  <si>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</si>
  <si>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</si>
  <si>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</si>
  <si>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</si>
  <si>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</si>
  <si>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</si>
  <si>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</si>
  <si>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</si>
  <si>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</si>
  <si>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</si>
  <si>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</si>
  <si>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</si>
  <si>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</si>
  <si>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</si>
  <si>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</si>
  <si>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</si>
  <si>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</si>
  <si>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</si>
  <si>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</si>
  <si>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</si>
  <si>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</si>
  <si>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</si>
  <si>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</si>
  <si>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</si>
  <si>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</si>
  <si>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</si>
  <si>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</si>
  <si>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</si>
  <si>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</si>
  <si>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</si>
  <si>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</si>
  <si>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</si>
  <si>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</si>
  <si>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</si>
  <si>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</si>
  <si>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</si>
  <si>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</si>
  <si>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</si>
  <si>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</si>
  <si>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</si>
  <si>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</si>
  <si>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</si>
  <si>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</si>
  <si>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</si>
  <si>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</si>
  <si>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</si>
  <si>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</si>
  <si>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</si>
  <si>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</si>
  <si>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</si>
  <si>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</si>
  <si>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</si>
  <si>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</si>
  <si>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</si>
  <si>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</si>
  <si>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</si>
  <si>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</si>
  <si>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</si>
  <si>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</si>
  <si>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</si>
  <si>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</si>
  <si>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</si>
  <si>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</si>
  <si>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</si>
  <si>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</si>
  <si>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</si>
  <si>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</si>
  <si>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</si>
  <si>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</si>
  <si>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</si>
  <si>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</si>
  <si>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</si>
  <si>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</si>
  <si>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</si>
  <si>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</si>
  <si>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</si>
  <si>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</si>
  <si>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</si>
  <si>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</si>
  <si>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</si>
  <si>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</si>
  <si>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</si>
  <si>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</si>
  <si>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</si>
  <si>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</si>
  <si>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</si>
  <si>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</si>
  <si>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</si>
  <si>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</si>
  <si>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</si>
  <si>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</si>
  <si>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</si>
  <si>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</si>
  <si>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</si>
  <si>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</si>
  <si>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</si>
  <si>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</si>
  <si>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</si>
  <si>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</si>
  <si>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</si>
  <si>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</si>
  <si>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</si>
  <si>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</si>
  <si>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</si>
  <si>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</si>
  <si>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</si>
  <si>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</si>
  <si>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</si>
  <si>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</si>
  <si>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</si>
  <si>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</si>
  <si>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</si>
  <si>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</si>
  <si>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</si>
  <si>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</si>
  <si>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</si>
  <si>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</si>
  <si>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</si>
  <si>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</si>
  <si>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</si>
  <si>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</si>
  <si>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</si>
  <si>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</si>
  <si>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</si>
  <si>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</si>
  <si>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</si>
  <si>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</si>
  <si>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</si>
  <si>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</si>
  <si>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</si>
  <si>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</si>
  <si>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</si>
  <si>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</si>
  <si>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</si>
  <si>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</si>
  <si>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</si>
  <si>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</si>
  <si>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</si>
  <si>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</si>
  <si>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</si>
  <si>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</si>
  <si>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</si>
  <si>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</si>
  <si>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</si>
  <si>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</si>
  <si>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</si>
  <si>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</si>
  <si>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</si>
  <si>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</si>
  <si>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</si>
  <si>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</si>
  <si>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</si>
  <si>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</si>
  <si>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</si>
  <si>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</si>
  <si>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</si>
  <si>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</si>
  <si>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</si>
  <si>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</si>
  <si>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</si>
  <si>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</si>
  <si>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</si>
  <si>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</si>
  <si>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</si>
  <si>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</si>
  <si>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</si>
  <si>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</si>
  <si>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</si>
  <si>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</si>
  <si>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</si>
  <si>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</si>
  <si>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</si>
  <si>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</si>
  <si>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</si>
  <si>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</si>
  <si>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</si>
  <si>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</si>
  <si>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</si>
  <si>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</si>
  <si>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</si>
  <si>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</si>
  <si>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</si>
  <si>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</si>
  <si>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</si>
  <si>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</si>
  <si>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</si>
  <si>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</si>
  <si>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</si>
  <si>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</si>
  <si>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</si>
  <si>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</si>
  <si>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</si>
  <si>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</si>
  <si>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</si>
  <si>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</si>
  <si>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</si>
  <si>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</si>
  <si>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</si>
  <si>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</si>
  <si>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</si>
  <si>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</si>
  <si>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</si>
  <si>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</si>
  <si>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</si>
  <si>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</si>
  <si>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</si>
  <si>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</si>
  <si>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</si>
  <si>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</si>
  <si>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</si>
  <si>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</si>
  <si>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</si>
  <si>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</si>
  <si>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</si>
  <si>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</si>
  <si>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</si>
  <si>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</si>
  <si>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</si>
  <si>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</si>
  <si>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</si>
  <si>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</si>
  <si>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</si>
  <si>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</si>
  <si>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</si>
  <si>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</si>
  <si>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</si>
  <si>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</si>
  <si>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</si>
  <si>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</si>
  <si>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</si>
  <si>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</si>
  <si>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</si>
  <si>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</si>
  <si>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</si>
  <si>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</si>
  <si>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</si>
  <si>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</si>
  <si>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</si>
  <si>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</si>
  <si>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</si>
  <si>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</si>
  <si>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</si>
  <si>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</si>
  <si>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</si>
  <si>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</si>
  <si>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</si>
  <si>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</si>
  <si>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</si>
  <si>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</si>
  <si>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</si>
  <si>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</si>
  <si>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</si>
  <si>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</si>
  <si>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</si>
  <si>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</si>
  <si>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</si>
  <si>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</si>
  <si>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</si>
  <si>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</si>
  <si>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</si>
  <si>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</si>
  <si>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</si>
  <si>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</si>
  <si>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</si>
  <si>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</si>
  <si>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</si>
  <si>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</si>
  <si>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</si>
  <si>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</si>
  <si>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</si>
  <si>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</si>
  <si>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</si>
  <si>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</si>
  <si>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</si>
  <si>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</si>
  <si>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</si>
  <si>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</si>
  <si>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</si>
  <si>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</si>
  <si>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</si>
  <si>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</si>
  <si>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</si>
  <si>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</si>
  <si>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</si>
  <si>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</si>
  <si>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</si>
  <si>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</si>
  <si>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</si>
  <si>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</si>
  <si>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</si>
  <si>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</si>
  <si>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</si>
  <si>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</si>
  <si>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</si>
  <si>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</si>
  <si>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</si>
  <si>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</si>
  <si>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</si>
  <si>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</si>
  <si>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</si>
  <si>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</si>
  <si>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</si>
  <si>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</si>
  <si>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</si>
  <si>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</si>
  <si>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</si>
  <si>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</si>
  <si>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</si>
  <si>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</si>
  <si>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</si>
  <si>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</si>
  <si>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</si>
  <si>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</si>
  <si>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</si>
  <si>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</si>
  <si>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</si>
  <si>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</si>
  <si>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</si>
  <si>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</si>
  <si>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</si>
  <si>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</si>
  <si>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</si>
  <si>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</si>
  <si>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</si>
  <si>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</si>
  <si>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</si>
  <si>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</si>
  <si>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</si>
  <si>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</si>
  <si>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</si>
  <si>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</si>
  <si>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</si>
  <si>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</si>
  <si>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</si>
  <si>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</si>
  <si>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</si>
  <si>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</si>
  <si>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</si>
  <si>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</si>
  <si>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</si>
  <si>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</si>
  <si>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</si>
  <si>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</si>
  <si>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</si>
  <si>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</si>
  <si>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</si>
  <si>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</si>
  <si>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</si>
  <si>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</si>
  <si>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</si>
  <si>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</si>
  <si>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</si>
  <si>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</si>
  <si>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</si>
  <si>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</si>
  <si>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</si>
  <si>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</si>
  <si>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</si>
  <si>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</si>
  <si>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</si>
  <si>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</si>
  <si>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</si>
  <si>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</si>
  <si>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</si>
  <si>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</si>
  <si>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</si>
  <si>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</si>
  <si>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</si>
  <si>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</si>
  <si>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</si>
  <si>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</si>
  <si>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</si>
  <si>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</si>
  <si>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</si>
  <si>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</si>
  <si>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</si>
  <si>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</si>
  <si>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</si>
  <si>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</si>
  <si>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</si>
  <si>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</si>
  <si>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</si>
  <si>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</si>
  <si>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</si>
  <si>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</si>
  <si>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</si>
  <si>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</si>
  <si>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</si>
  <si>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</si>
  <si>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</si>
  <si>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</si>
  <si>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</si>
  <si>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</si>
  <si>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</si>
  <si>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</si>
  <si>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</si>
  <si>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</si>
  <si>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</si>
  <si>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</si>
  <si>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</si>
  <si>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</si>
  <si>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</si>
  <si>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</si>
  <si>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</si>
  <si>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</si>
  <si>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</si>
  <si>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</si>
  <si>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</si>
  <si>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</si>
  <si>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</si>
  <si>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</si>
  <si>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</si>
  <si>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</si>
  <si>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</si>
  <si>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</si>
  <si>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</si>
  <si>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</si>
  <si>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</si>
  <si>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</si>
  <si>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</si>
  <si>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</si>
  <si>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</si>
  <si>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</si>
  <si>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</si>
  <si>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</si>
  <si>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</si>
  <si>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</si>
  <si>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</si>
  <si>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</si>
  <si>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</si>
  <si>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</si>
  <si>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</si>
  <si>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</si>
  <si>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</si>
  <si>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</si>
  <si>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</si>
  <si>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</si>
  <si>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</si>
  <si>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</si>
  <si>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</si>
  <si>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</si>
  <si>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</si>
  <si>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</si>
  <si>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</si>
  <si>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</si>
  <si>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</si>
  <si>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</si>
  <si>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</si>
  <si>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</si>
  <si>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</si>
  <si>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</si>
  <si>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</si>
  <si>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</si>
  <si>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</si>
  <si>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</si>
  <si>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</si>
  <si>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</si>
  <si>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</si>
  <si>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</si>
  <si>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</si>
  <si>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</si>
  <si>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</si>
  <si>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</si>
  <si>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</si>
  <si>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</si>
  <si>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</si>
  <si>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</si>
  <si>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</si>
  <si>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</si>
  <si>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</si>
  <si>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</si>
  <si>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</si>
  <si>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</si>
  <si>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</si>
  <si>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</si>
  <si>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</si>
  <si>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</si>
  <si>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</si>
  <si>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</si>
  <si>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</si>
  <si>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</si>
  <si>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</si>
  <si>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</si>
  <si>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</si>
  <si>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</si>
  <si>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</si>
  <si>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</si>
  <si>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</si>
  <si>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</si>
  <si>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</si>
  <si>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</si>
  <si>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</si>
  <si>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</si>
  <si>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</si>
  <si>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</si>
  <si>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</si>
  <si>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</si>
  <si>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</si>
  <si>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</si>
  <si>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</si>
  <si>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</si>
  <si>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</si>
  <si>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</si>
  <si>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</si>
  <si>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</si>
  <si>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</si>
  <si>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</si>
  <si>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</si>
  <si>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</si>
  <si>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</si>
  <si>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</si>
  <si>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</si>
  <si>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</si>
  <si>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</si>
  <si>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</si>
  <si>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</si>
  <si>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</si>
  <si>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</si>
  <si>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</si>
  <si>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</si>
  <si>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</si>
  <si>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</si>
  <si>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</si>
  <si>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</si>
  <si>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</si>
  <si>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</si>
  <si>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</si>
  <si>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</si>
  <si>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</si>
  <si>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</si>
  <si>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</si>
  <si>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</si>
  <si>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</si>
  <si>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</si>
  <si>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</si>
  <si>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</si>
  <si>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</si>
  <si>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</si>
  <si>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</si>
  <si>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</si>
  <si>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</si>
  <si>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</si>
  <si>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</si>
  <si>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</si>
  <si>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</si>
  <si>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</si>
  <si>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</si>
  <si>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</si>
  <si>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</si>
  <si>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</si>
  <si>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</si>
  <si>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</si>
  <si>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</si>
  <si>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</si>
  <si>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</si>
  <si>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</si>
  <si>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</si>
  <si>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</si>
  <si>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</si>
  <si>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</si>
  <si>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</si>
  <si>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</si>
  <si>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</si>
  <si>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</si>
  <si>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</si>
  <si>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</si>
  <si>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</si>
  <si>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</si>
  <si>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</si>
  <si>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</si>
  <si>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</si>
  <si>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</si>
  <si>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</si>
  <si>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</si>
  <si>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</si>
  <si>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</si>
  <si>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</si>
  <si>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</si>
  <si>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</si>
  <si>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</si>
  <si>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</si>
  <si>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</si>
  <si>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</si>
  <si>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</si>
  <si>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</si>
  <si>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</si>
  <si>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</si>
  <si>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</si>
  <si>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</si>
  <si>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</si>
  <si>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</si>
  <si>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</si>
  <si>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</si>
  <si>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</si>
  <si>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</si>
  <si>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</si>
  <si>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</si>
  <si>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</si>
  <si>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</si>
  <si>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</si>
  <si>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</si>
  <si>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</si>
  <si>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</si>
  <si>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</si>
  <si>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</si>
  <si>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</si>
  <si>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</si>
  <si>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</si>
  <si>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</si>
  <si>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</si>
  <si>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</si>
  <si>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</si>
  <si>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</si>
  <si>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</si>
  <si>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</si>
  <si>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</si>
  <si>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</si>
  <si>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</si>
  <si>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</si>
  <si>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</si>
  <si>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</si>
  <si>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</si>
  <si>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</si>
  <si>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</si>
  <si>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</si>
  <si>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</si>
  <si>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</si>
  <si>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</si>
  <si>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</si>
  <si>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</si>
  <si>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</si>
  <si>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</si>
  <si>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</si>
  <si>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</si>
  <si>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</si>
  <si>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</si>
  <si>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</si>
  <si>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</si>
  <si>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</si>
  <si>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</si>
  <si>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8/97</t>
  </si>
  <si>
    <t>8/12</t>
  </si>
  <si>
    <t>Shaker Regional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</si>
</sst>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93F3-AA64-4606-A2D6-84BC5BA59A9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28" activePane="bottomRight" state="frozen"/>
      <selection pane="topRight" activeCell="F1" sqref="F1"/>
      <selection pane="bottomLeft" activeCell="A4" sqref="A4"/>
      <selection pane="bottomRight" activeCell="H655" sqref="H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486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30995.4</v>
      </c>
      <c r="G9" s="18">
        <v>0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1154.6099999999999</v>
      </c>
      <c r="G10" s="18">
        <v>55600.93</v>
      </c>
      <c r="H10" s="18"/>
      <c r="I10" s="18"/>
      <c r="J10" s="67">
        <f>SUM(I432)</f>
        <v>630747.32000000007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3088238.28-2549389.69</f>
        <v>538848.58999999985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295.41000000000003</v>
      </c>
      <c r="G13" s="18">
        <v>14837.13</v>
      </c>
      <c r="H13" s="18">
        <v>493604.01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29780.639999999999</v>
      </c>
      <c r="G14" s="18">
        <v>1357.4</v>
      </c>
      <c r="H14" s="18">
        <v>519.66999999999996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601074.64999999991</v>
      </c>
      <c r="G19" s="41">
        <f>SUM(G9:G18)</f>
        <v>71795.459999999992</v>
      </c>
      <c r="H19" s="41">
        <f>SUM(H9:H18)</f>
        <v>494123.68</v>
      </c>
      <c r="I19" s="41">
        <f>SUM(I9:I18)</f>
        <v>0</v>
      </c>
      <c r="J19" s="41">
        <f>SUM(J9:J18)</f>
        <v>630747.32000000007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f>1150596.55-1085354.55</f>
        <v>65242</v>
      </c>
      <c r="H23" s="18">
        <f>2813545.41-2339938.82</f>
        <v>473606.59000000032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29666.89</v>
      </c>
      <c r="G24" s="18"/>
      <c r="H24" s="18"/>
      <c r="I24" s="18"/>
      <c r="J24" s="67">
        <f>SUM(I441)</f>
        <v>51650.5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35666.43</v>
      </c>
      <c r="G25" s="18">
        <v>365.41</v>
      </c>
      <c r="H25" s="18">
        <v>1760.11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1046</v>
      </c>
      <c r="G31" s="18">
        <v>6188.05</v>
      </c>
      <c r="H31" s="18">
        <v>18756.98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66379.320000000007</v>
      </c>
      <c r="G33" s="41">
        <f>SUM(G23:G32)</f>
        <v>71795.460000000006</v>
      </c>
      <c r="H33" s="41">
        <f>SUM(H23:H32)</f>
        <v>494123.68000000028</v>
      </c>
      <c r="I33" s="41">
        <f>SUM(I23:I32)</f>
        <v>0</v>
      </c>
      <c r="J33" s="41">
        <f>SUM(J23:J32)</f>
        <v>51650.5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37022.550000000003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200000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579096.81999999995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297672.78000000003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534695.33000000007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579096.81999999995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601074.65000000014</v>
      </c>
      <c r="G44" s="41">
        <f>G43+G33</f>
        <v>71795.460000000006</v>
      </c>
      <c r="H44" s="41">
        <f>H43+H33</f>
        <v>494123.68000000028</v>
      </c>
      <c r="I44" s="41">
        <f>I43+I33</f>
        <v>0</v>
      </c>
      <c r="J44" s="41">
        <f>J43+J33</f>
        <v>630747.31999999995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2782391+6538071</f>
        <v>9320462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9320462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900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900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2814.76+23.93</f>
        <v>2838.69</v>
      </c>
      <c r="G88" s="18">
        <v>51.56</v>
      </c>
      <c r="H88" s="18"/>
      <c r="I88" s="18"/>
      <c r="J88" s="18">
        <v>1568.69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323646.92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6581.98</v>
      </c>
      <c r="G102" s="18">
        <v>433.67</v>
      </c>
      <c r="H102" s="18">
        <v>32177.1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9420.67</v>
      </c>
      <c r="G103" s="41">
        <f>SUM(G88:G102)</f>
        <v>324132.14999999997</v>
      </c>
      <c r="H103" s="41">
        <f>SUM(H88:H102)</f>
        <v>32177.1</v>
      </c>
      <c r="I103" s="41">
        <f>SUM(I88:I102)</f>
        <v>0</v>
      </c>
      <c r="J103" s="41">
        <f>SUM(J88:J102)</f>
        <v>1568.69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9330782.6699999999</v>
      </c>
      <c r="G104" s="41">
        <f>G52+G103</f>
        <v>324132.14999999997</v>
      </c>
      <c r="H104" s="41">
        <f>H52+H71+H86+H103</f>
        <v>32177.1</v>
      </c>
      <c r="I104" s="41">
        <f>I52+I103</f>
        <v>0</v>
      </c>
      <c r="J104" s="41">
        <f>J52+J103</f>
        <v>1568.69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3278284.87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2330752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1257777.1299999999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6866814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265601.44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85301.64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9588.48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7216.89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360491.56</v>
      </c>
      <c r="G128" s="41">
        <f>SUM(G115:G127)</f>
        <v>7216.89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7227305.5599999996</v>
      </c>
      <c r="G132" s="41">
        <f>G113+SUM(G128:G129)</f>
        <v>7216.89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348897.31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103728.45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225179.77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502394.81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102183.3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102183.3</v>
      </c>
      <c r="G154" s="41">
        <f>SUM(G142:G153)</f>
        <v>225179.77</v>
      </c>
      <c r="H154" s="41">
        <f>SUM(H142:H153)</f>
        <v>955020.57000000007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102183.3</v>
      </c>
      <c r="G161" s="41">
        <f>G139+G154+SUM(G155:G160)</f>
        <v>225179.77</v>
      </c>
      <c r="H161" s="41">
        <f>H139+H154+SUM(H155:H160)</f>
        <v>955020.57000000007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16603.310000000001</v>
      </c>
      <c r="H171" s="18"/>
      <c r="I171" s="18"/>
      <c r="J171" s="18">
        <v>100000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16603.310000000001</v>
      </c>
      <c r="H175" s="41">
        <f>SUM(H171:H174)</f>
        <v>0</v>
      </c>
      <c r="I175" s="41">
        <f>SUM(I171:I174)</f>
        <v>0</v>
      </c>
      <c r="J175" s="41">
        <f>SUM(J171:J174)</f>
        <v>100000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>
        <v>51650.5</v>
      </c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51650.5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16603.310000000001</v>
      </c>
      <c r="H184" s="41">
        <f>+H175+SUM(H180:H183)</f>
        <v>51650.5</v>
      </c>
      <c r="I184" s="41">
        <f>I169+I175+SUM(I180:I183)</f>
        <v>0</v>
      </c>
      <c r="J184" s="41">
        <f>J175</f>
        <v>100000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16660271.530000001</v>
      </c>
      <c r="G185" s="47">
        <f>G104+G132+G161+G184</f>
        <v>573132.12</v>
      </c>
      <c r="H185" s="47">
        <f>H104+H132+H161+H184</f>
        <v>1038848.17</v>
      </c>
      <c r="I185" s="47">
        <f>I104+I132+I161+I184</f>
        <v>0</v>
      </c>
      <c r="J185" s="47">
        <f>J104+J132+J184</f>
        <v>101568.69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1982289.62</v>
      </c>
      <c r="G189" s="18">
        <v>736339</v>
      </c>
      <c r="H189" s="18">
        <v>2880.95</v>
      </c>
      <c r="I189" s="18">
        <v>92757.79</v>
      </c>
      <c r="J189" s="18">
        <v>6927.55</v>
      </c>
      <c r="K189" s="18">
        <v>0</v>
      </c>
      <c r="L189" s="19">
        <f>SUM(F189:K189)</f>
        <v>2821194.91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498807.61</v>
      </c>
      <c r="G190" s="18">
        <v>186155.41</v>
      </c>
      <c r="H190" s="18">
        <v>34971.58</v>
      </c>
      <c r="I190" s="18">
        <v>3135.1</v>
      </c>
      <c r="J190" s="18">
        <v>204.59</v>
      </c>
      <c r="K190" s="18">
        <v>0</v>
      </c>
      <c r="L190" s="19">
        <f>SUM(F190:K190)</f>
        <v>723274.28999999992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27397.58</v>
      </c>
      <c r="G192" s="18">
        <v>3972.01</v>
      </c>
      <c r="H192" s="18">
        <v>3754.04</v>
      </c>
      <c r="I192" s="18">
        <v>1300</v>
      </c>
      <c r="J192" s="18">
        <v>1300</v>
      </c>
      <c r="K192" s="18">
        <v>100</v>
      </c>
      <c r="L192" s="19">
        <f>SUM(F192:K192)</f>
        <v>37823.630000000005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371181.96</v>
      </c>
      <c r="G194" s="18">
        <v>125811.52</v>
      </c>
      <c r="H194" s="18">
        <v>47884.639999999999</v>
      </c>
      <c r="I194" s="18">
        <v>4077.12</v>
      </c>
      <c r="J194" s="18">
        <v>282.39</v>
      </c>
      <c r="K194" s="18">
        <v>319.07</v>
      </c>
      <c r="L194" s="19">
        <f t="shared" ref="L194:L200" si="0">SUM(F194:K194)</f>
        <v>549556.69999999995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171128.22</v>
      </c>
      <c r="G195" s="18">
        <v>99221.93</v>
      </c>
      <c r="H195" s="18">
        <v>19098.689999999999</v>
      </c>
      <c r="I195" s="18">
        <v>18922.8</v>
      </c>
      <c r="J195" s="18">
        <v>39619.93</v>
      </c>
      <c r="K195" s="18">
        <v>655.55</v>
      </c>
      <c r="L195" s="19">
        <f t="shared" si="0"/>
        <v>348647.12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62749.05</v>
      </c>
      <c r="G196" s="18">
        <v>16144.92</v>
      </c>
      <c r="H196" s="18">
        <v>41767.279999999999</v>
      </c>
      <c r="I196" s="18">
        <v>2996.36</v>
      </c>
      <c r="J196" s="18"/>
      <c r="K196" s="18">
        <v>5152.8500000000004</v>
      </c>
      <c r="L196" s="19">
        <f t="shared" si="0"/>
        <v>128810.46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318774.45</v>
      </c>
      <c r="G197" s="18">
        <v>87813.99</v>
      </c>
      <c r="H197" s="18">
        <v>22705.51</v>
      </c>
      <c r="I197" s="18">
        <v>4769.1899999999996</v>
      </c>
      <c r="J197" s="18"/>
      <c r="K197" s="18">
        <v>2010</v>
      </c>
      <c r="L197" s="19">
        <f t="shared" si="0"/>
        <v>436073.14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68087.69</v>
      </c>
      <c r="G198" s="18">
        <v>15159.52</v>
      </c>
      <c r="H198" s="18">
        <v>8840.66</v>
      </c>
      <c r="I198" s="18">
        <v>1127.67</v>
      </c>
      <c r="J198" s="18"/>
      <c r="K198" s="18">
        <v>220.54</v>
      </c>
      <c r="L198" s="19">
        <f t="shared" si="0"/>
        <v>93436.08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163076.03</v>
      </c>
      <c r="G199" s="18">
        <v>61352.57</v>
      </c>
      <c r="H199" s="18">
        <v>131895.67000000001</v>
      </c>
      <c r="I199" s="18">
        <v>123352.52</v>
      </c>
      <c r="J199" s="18">
        <v>4121.8500000000004</v>
      </c>
      <c r="K199" s="18"/>
      <c r="L199" s="19">
        <f t="shared" si="0"/>
        <v>483798.64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389320.86</v>
      </c>
      <c r="I200" s="18"/>
      <c r="J200" s="18"/>
      <c r="K200" s="18"/>
      <c r="L200" s="19">
        <f t="shared" si="0"/>
        <v>389320.86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3663492.21</v>
      </c>
      <c r="G203" s="41">
        <f t="shared" si="1"/>
        <v>1331970.8699999999</v>
      </c>
      <c r="H203" s="41">
        <f t="shared" si="1"/>
        <v>703119.88</v>
      </c>
      <c r="I203" s="41">
        <f t="shared" si="1"/>
        <v>252438.55</v>
      </c>
      <c r="J203" s="41">
        <f t="shared" si="1"/>
        <v>52456.31</v>
      </c>
      <c r="K203" s="41">
        <f t="shared" si="1"/>
        <v>8458.010000000002</v>
      </c>
      <c r="L203" s="41">
        <f t="shared" si="1"/>
        <v>6011935.8300000001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1748734.73</v>
      </c>
      <c r="G207" s="18">
        <v>652197.37</v>
      </c>
      <c r="H207" s="18">
        <v>2026.75</v>
      </c>
      <c r="I207" s="18">
        <v>72476.36</v>
      </c>
      <c r="J207" s="18">
        <v>7843.42</v>
      </c>
      <c r="K207" s="18">
        <v>0</v>
      </c>
      <c r="L207" s="19">
        <f>SUM(F207:K207)</f>
        <v>2483278.63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329339.5</v>
      </c>
      <c r="G208" s="18">
        <v>121652.63</v>
      </c>
      <c r="H208" s="18">
        <v>239476.62</v>
      </c>
      <c r="I208" s="18">
        <v>11239.59</v>
      </c>
      <c r="J208" s="18">
        <v>1221.7</v>
      </c>
      <c r="K208" s="18">
        <v>1057</v>
      </c>
      <c r="L208" s="19">
        <f>SUM(F208:K208)</f>
        <v>703987.03999999992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45051.66</v>
      </c>
      <c r="G210" s="18">
        <v>6961.38</v>
      </c>
      <c r="H210" s="18">
        <v>10105</v>
      </c>
      <c r="I210" s="18">
        <v>270.01</v>
      </c>
      <c r="J210" s="18">
        <v>4800</v>
      </c>
      <c r="K210" s="18">
        <v>461</v>
      </c>
      <c r="L210" s="19">
        <f>SUM(F210:K210)</f>
        <v>67649.05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319292.31</v>
      </c>
      <c r="G212" s="18">
        <v>110117.93</v>
      </c>
      <c r="H212" s="18">
        <v>29381.96</v>
      </c>
      <c r="I212" s="18">
        <v>10892.11</v>
      </c>
      <c r="J212" s="18">
        <v>827.54</v>
      </c>
      <c r="K212" s="18">
        <v>343.46</v>
      </c>
      <c r="L212" s="19">
        <f t="shared" ref="L212:L218" si="2">SUM(F212:K212)</f>
        <v>470855.31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121578.67</v>
      </c>
      <c r="G213" s="18">
        <v>58174.48</v>
      </c>
      <c r="H213" s="18">
        <v>13723.24</v>
      </c>
      <c r="I213" s="18">
        <v>11733.87</v>
      </c>
      <c r="J213" s="18">
        <v>30162.76</v>
      </c>
      <c r="K213" s="18">
        <v>585.71</v>
      </c>
      <c r="L213" s="19">
        <f t="shared" si="2"/>
        <v>235958.72999999998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56064.01</v>
      </c>
      <c r="G214" s="18">
        <v>14424.9</v>
      </c>
      <c r="H214" s="18">
        <v>37317.54</v>
      </c>
      <c r="I214" s="18">
        <v>2677.15</v>
      </c>
      <c r="J214" s="18"/>
      <c r="K214" s="18">
        <v>4603.8900000000003</v>
      </c>
      <c r="L214" s="19">
        <f t="shared" si="2"/>
        <v>115087.49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219363.07</v>
      </c>
      <c r="G215" s="18">
        <v>82889.100000000006</v>
      </c>
      <c r="H215" s="18">
        <v>23096.69</v>
      </c>
      <c r="I215" s="18">
        <v>2128.56</v>
      </c>
      <c r="J215" s="18">
        <v>1016</v>
      </c>
      <c r="K215" s="18">
        <v>1720</v>
      </c>
      <c r="L215" s="19">
        <f t="shared" si="2"/>
        <v>330213.42000000004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60833.89</v>
      </c>
      <c r="G216" s="18">
        <v>13544.48</v>
      </c>
      <c r="H216" s="18">
        <v>7898.81</v>
      </c>
      <c r="I216" s="18">
        <v>1007.53</v>
      </c>
      <c r="J216" s="18"/>
      <c r="K216" s="18">
        <v>197.04</v>
      </c>
      <c r="L216" s="19">
        <f t="shared" si="2"/>
        <v>83481.749999999985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185723.9</v>
      </c>
      <c r="G217" s="18">
        <v>72836.92</v>
      </c>
      <c r="H217" s="18">
        <v>112981.33</v>
      </c>
      <c r="I217" s="18">
        <v>151005.03</v>
      </c>
      <c r="J217" s="18">
        <v>3682.73</v>
      </c>
      <c r="K217" s="18"/>
      <c r="L217" s="19">
        <f t="shared" si="2"/>
        <v>526229.91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284660.82</v>
      </c>
      <c r="I218" s="18"/>
      <c r="J218" s="18"/>
      <c r="K218" s="18"/>
      <c r="L218" s="19">
        <f t="shared" si="2"/>
        <v>284660.82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3085981.7399999998</v>
      </c>
      <c r="G221" s="41">
        <f>SUM(G207:G220)</f>
        <v>1132799.19</v>
      </c>
      <c r="H221" s="41">
        <f>SUM(H207:H220)</f>
        <v>760668.76</v>
      </c>
      <c r="I221" s="41">
        <f>SUM(I207:I220)</f>
        <v>263430.20999999996</v>
      </c>
      <c r="J221" s="41">
        <f>SUM(J207:J220)</f>
        <v>49554.15</v>
      </c>
      <c r="K221" s="41">
        <f t="shared" si="3"/>
        <v>8968.1000000000022</v>
      </c>
      <c r="L221" s="41">
        <f t="shared" si="3"/>
        <v>5301402.1500000004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1842111.81</v>
      </c>
      <c r="G225" s="18">
        <v>686906.82</v>
      </c>
      <c r="H225" s="18">
        <v>4868.0200000000004</v>
      </c>
      <c r="I225" s="18">
        <v>77081.19</v>
      </c>
      <c r="J225" s="18">
        <v>13982.6</v>
      </c>
      <c r="K225" s="18">
        <v>196</v>
      </c>
      <c r="L225" s="19">
        <f>SUM(F225:K225)</f>
        <v>2625146.44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197196.57</v>
      </c>
      <c r="G226" s="18">
        <v>83485.45</v>
      </c>
      <c r="H226" s="18">
        <v>61986.6</v>
      </c>
      <c r="I226" s="18">
        <v>11703.4</v>
      </c>
      <c r="J226" s="18">
        <v>0</v>
      </c>
      <c r="K226" s="18">
        <v>0</v>
      </c>
      <c r="L226" s="19">
        <f>SUM(F226:K226)</f>
        <v>354372.02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24720</v>
      </c>
      <c r="G227" s="18">
        <v>1950.91</v>
      </c>
      <c r="H227" s="18">
        <v>61346.69</v>
      </c>
      <c r="I227" s="18"/>
      <c r="J227" s="18"/>
      <c r="K227" s="18"/>
      <c r="L227" s="19">
        <f>SUM(F227:K227)</f>
        <v>88017.600000000006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132941.24</v>
      </c>
      <c r="G228" s="18">
        <v>23461.040000000001</v>
      </c>
      <c r="H228" s="18">
        <v>19446.25</v>
      </c>
      <c r="I228" s="18">
        <v>5822.04</v>
      </c>
      <c r="J228" s="18">
        <v>2839.93</v>
      </c>
      <c r="K228" s="18">
        <v>4163</v>
      </c>
      <c r="L228" s="19">
        <f>SUM(F228:K228)</f>
        <v>188673.5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274826.36</v>
      </c>
      <c r="G230" s="18">
        <v>96543.99</v>
      </c>
      <c r="H230" s="18">
        <v>37466.1</v>
      </c>
      <c r="I230" s="18">
        <v>5523.41</v>
      </c>
      <c r="J230" s="18">
        <v>14.99</v>
      </c>
      <c r="K230" s="18">
        <v>416.47</v>
      </c>
      <c r="L230" s="19">
        <f t="shared" ref="L230:L236" si="4">SUM(F230:K230)</f>
        <v>414791.31999999989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123320.72</v>
      </c>
      <c r="G231" s="18">
        <v>61097.95</v>
      </c>
      <c r="H231" s="18">
        <v>15684.53</v>
      </c>
      <c r="I231" s="18">
        <v>16278.97</v>
      </c>
      <c r="J231" s="18">
        <v>47335.13</v>
      </c>
      <c r="K231" s="18">
        <v>646.29999999999995</v>
      </c>
      <c r="L231" s="19">
        <f t="shared" si="4"/>
        <v>264363.59999999998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61863.75</v>
      </c>
      <c r="G232" s="18">
        <v>15917.12</v>
      </c>
      <c r="H232" s="18">
        <v>41177.980000000003</v>
      </c>
      <c r="I232" s="18">
        <v>2954.1</v>
      </c>
      <c r="J232" s="18"/>
      <c r="K232" s="18">
        <v>5080.1400000000003</v>
      </c>
      <c r="L232" s="19">
        <f t="shared" si="4"/>
        <v>126993.09000000001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237826</v>
      </c>
      <c r="G233" s="18">
        <v>89872.51</v>
      </c>
      <c r="H233" s="18">
        <v>24334.06</v>
      </c>
      <c r="I233" s="18">
        <v>2843.32</v>
      </c>
      <c r="J233" s="18"/>
      <c r="K233" s="18">
        <v>4183</v>
      </c>
      <c r="L233" s="19">
        <f t="shared" si="4"/>
        <v>359058.89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67127.039999999994</v>
      </c>
      <c r="G234" s="18">
        <v>14945.65</v>
      </c>
      <c r="H234" s="18">
        <v>8715.92</v>
      </c>
      <c r="I234" s="18">
        <v>1111.75</v>
      </c>
      <c r="J234" s="18"/>
      <c r="K234" s="18">
        <v>217.42</v>
      </c>
      <c r="L234" s="19">
        <f t="shared" si="4"/>
        <v>92117.779999999984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156412.71</v>
      </c>
      <c r="G235" s="18">
        <v>58500.75</v>
      </c>
      <c r="H235" s="18">
        <v>122586.29</v>
      </c>
      <c r="I235" s="18">
        <v>113693.43</v>
      </c>
      <c r="J235" s="18">
        <v>4063.71</v>
      </c>
      <c r="K235" s="18"/>
      <c r="L235" s="19">
        <f t="shared" si="4"/>
        <v>455256.89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197057.1</v>
      </c>
      <c r="I236" s="18"/>
      <c r="J236" s="18"/>
      <c r="K236" s="18"/>
      <c r="L236" s="19">
        <f t="shared" si="4"/>
        <v>197057.1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3118346.2</v>
      </c>
      <c r="G239" s="41">
        <f t="shared" si="5"/>
        <v>1132682.1899999997</v>
      </c>
      <c r="H239" s="41">
        <f t="shared" si="5"/>
        <v>594669.54</v>
      </c>
      <c r="I239" s="41">
        <f t="shared" si="5"/>
        <v>237011.61</v>
      </c>
      <c r="J239" s="41">
        <f t="shared" si="5"/>
        <v>68236.36</v>
      </c>
      <c r="K239" s="41">
        <f t="shared" si="5"/>
        <v>14902.33</v>
      </c>
      <c r="L239" s="41">
        <f t="shared" si="5"/>
        <v>5165848.2299999995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8300.7999999999993</v>
      </c>
      <c r="G245" s="18">
        <v>1071.01</v>
      </c>
      <c r="H245" s="18"/>
      <c r="I245" s="18">
        <v>2000</v>
      </c>
      <c r="J245" s="18"/>
      <c r="K245" s="18">
        <v>1653.54</v>
      </c>
      <c r="L245" s="19">
        <f t="shared" si="6"/>
        <v>13025.349999999999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69553.45</v>
      </c>
      <c r="I247" s="18"/>
      <c r="J247" s="18"/>
      <c r="K247" s="18"/>
      <c r="L247" s="19">
        <f t="shared" si="6"/>
        <v>69553.45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8300.7999999999993</v>
      </c>
      <c r="G248" s="41">
        <f t="shared" si="7"/>
        <v>1071.01</v>
      </c>
      <c r="H248" s="41">
        <f t="shared" si="7"/>
        <v>69553.45</v>
      </c>
      <c r="I248" s="41">
        <f t="shared" si="7"/>
        <v>2000</v>
      </c>
      <c r="J248" s="41">
        <f t="shared" si="7"/>
        <v>0</v>
      </c>
      <c r="K248" s="41">
        <f t="shared" si="7"/>
        <v>1653.54</v>
      </c>
      <c r="L248" s="41">
        <f>SUM(F248:K248)</f>
        <v>82578.799999999988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9876120.9499999993</v>
      </c>
      <c r="G249" s="41">
        <f t="shared" si="8"/>
        <v>3598523.2599999988</v>
      </c>
      <c r="H249" s="41">
        <f t="shared" si="8"/>
        <v>2128011.6300000004</v>
      </c>
      <c r="I249" s="41">
        <f t="shared" si="8"/>
        <v>754880.36999999988</v>
      </c>
      <c r="J249" s="41">
        <f t="shared" si="8"/>
        <v>170246.82</v>
      </c>
      <c r="K249" s="41">
        <f t="shared" si="8"/>
        <v>33981.980000000003</v>
      </c>
      <c r="L249" s="41">
        <f t="shared" si="8"/>
        <v>16561765.010000002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500000</v>
      </c>
      <c r="L252" s="19">
        <f>SUM(F252:K252)</f>
        <v>500000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83625</v>
      </c>
      <c r="L253" s="19">
        <f>SUM(F253:K253)</f>
        <v>83625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16603.310000000001</v>
      </c>
      <c r="L255" s="19">
        <f>SUM(F255:K255)</f>
        <v>16603.310000000001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100000</v>
      </c>
      <c r="L258" s="19">
        <f t="shared" si="9"/>
        <v>100000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700228.31</v>
      </c>
      <c r="L262" s="41">
        <f t="shared" si="9"/>
        <v>700228.31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9876120.9499999993</v>
      </c>
      <c r="G263" s="42">
        <f t="shared" si="11"/>
        <v>3598523.2599999988</v>
      </c>
      <c r="H263" s="42">
        <f t="shared" si="11"/>
        <v>2128011.6300000004</v>
      </c>
      <c r="I263" s="42">
        <f t="shared" si="11"/>
        <v>754880.36999999988</v>
      </c>
      <c r="J263" s="42">
        <f t="shared" si="11"/>
        <v>170246.82</v>
      </c>
      <c r="K263" s="42">
        <f t="shared" si="11"/>
        <v>734210.29</v>
      </c>
      <c r="L263" s="42">
        <f t="shared" si="11"/>
        <v>17261993.32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16180.36</v>
      </c>
      <c r="G268" s="18">
        <v>2384.89</v>
      </c>
      <c r="H268" s="18"/>
      <c r="I268" s="18"/>
      <c r="J268" s="18">
        <v>800</v>
      </c>
      <c r="K268" s="18"/>
      <c r="L268" s="19">
        <f>SUM(F268:K268)</f>
        <v>19365.25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149187.79999999999</v>
      </c>
      <c r="G269" s="18">
        <v>60236.6</v>
      </c>
      <c r="H269" s="18">
        <v>384.47</v>
      </c>
      <c r="I269" s="18">
        <f>11945.5-4203.8</f>
        <v>7741.7</v>
      </c>
      <c r="J269" s="18">
        <f>7495.94+4203.8</f>
        <v>11699.74</v>
      </c>
      <c r="K269" s="18"/>
      <c r="L269" s="19">
        <f>SUM(F269:K269)</f>
        <v>229250.31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7042.8</v>
      </c>
      <c r="G271" s="18">
        <v>903.21</v>
      </c>
      <c r="H271" s="18"/>
      <c r="I271" s="18"/>
      <c r="J271" s="18"/>
      <c r="K271" s="18"/>
      <c r="L271" s="19">
        <f>SUM(F271:K271)</f>
        <v>7946.01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48330.57</v>
      </c>
      <c r="G273" s="18">
        <v>13390.66</v>
      </c>
      <c r="H273" s="18"/>
      <c r="I273" s="18"/>
      <c r="J273" s="18">
        <v>440.36</v>
      </c>
      <c r="K273" s="18"/>
      <c r="L273" s="19">
        <f t="shared" ref="L273:L279" si="12">SUM(F273:K273)</f>
        <v>62161.59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3413.96</v>
      </c>
      <c r="G274" s="18">
        <v>454.56</v>
      </c>
      <c r="H274" s="18">
        <v>17158.79</v>
      </c>
      <c r="I274" s="18">
        <v>4565.4799999999996</v>
      </c>
      <c r="J274" s="18">
        <v>3473.73</v>
      </c>
      <c r="K274" s="18"/>
      <c r="L274" s="19">
        <f t="shared" si="12"/>
        <v>29066.52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6537.3</v>
      </c>
      <c r="I279" s="18"/>
      <c r="J279" s="18"/>
      <c r="K279" s="18"/>
      <c r="L279" s="19">
        <f t="shared" si="12"/>
        <v>6537.3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224155.48999999996</v>
      </c>
      <c r="G282" s="42">
        <f t="shared" si="13"/>
        <v>77369.919999999998</v>
      </c>
      <c r="H282" s="42">
        <f t="shared" si="13"/>
        <v>24080.560000000001</v>
      </c>
      <c r="I282" s="42">
        <f t="shared" si="13"/>
        <v>12307.18</v>
      </c>
      <c r="J282" s="42">
        <f t="shared" si="13"/>
        <v>16413.830000000002</v>
      </c>
      <c r="K282" s="42">
        <f t="shared" si="13"/>
        <v>0</v>
      </c>
      <c r="L282" s="41">
        <f t="shared" si="13"/>
        <v>354326.98000000004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15318.81</v>
      </c>
      <c r="G287" s="18">
        <v>2275.92</v>
      </c>
      <c r="H287" s="18"/>
      <c r="I287" s="18"/>
      <c r="J287" s="18">
        <v>1956</v>
      </c>
      <c r="K287" s="18"/>
      <c r="L287" s="19">
        <f>SUM(F287:K287)</f>
        <v>19550.73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139776.94</v>
      </c>
      <c r="G288" s="18">
        <v>66192.759999999995</v>
      </c>
      <c r="H288" s="18">
        <v>213.93</v>
      </c>
      <c r="I288" s="18">
        <v>7576.31</v>
      </c>
      <c r="J288" s="18">
        <v>13661.98</v>
      </c>
      <c r="K288" s="18"/>
      <c r="L288" s="19">
        <f>SUM(F288:K288)</f>
        <v>227421.92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9912.7999999999993</v>
      </c>
      <c r="G290" s="18">
        <v>1554.67</v>
      </c>
      <c r="H290" s="18"/>
      <c r="I290" s="18"/>
      <c r="J290" s="18"/>
      <c r="K290" s="18"/>
      <c r="L290" s="19">
        <f>SUM(F290:K290)</f>
        <v>11467.47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45079.68</v>
      </c>
      <c r="G292" s="18">
        <v>12119.33</v>
      </c>
      <c r="H292" s="18">
        <v>45715</v>
      </c>
      <c r="I292" s="18"/>
      <c r="J292" s="18">
        <v>393.44</v>
      </c>
      <c r="K292" s="18"/>
      <c r="L292" s="19">
        <f t="shared" ref="L292:L298" si="14">SUM(F292:K292)</f>
        <v>103307.45000000001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3050.25</v>
      </c>
      <c r="G293" s="18">
        <v>406.13</v>
      </c>
      <c r="H293" s="18">
        <v>14937.48</v>
      </c>
      <c r="I293" s="18">
        <v>911.22</v>
      </c>
      <c r="J293" s="18"/>
      <c r="K293" s="18"/>
      <c r="L293" s="19">
        <f t="shared" si="14"/>
        <v>19305.080000000002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213138.47999999998</v>
      </c>
      <c r="G301" s="42">
        <f t="shared" si="15"/>
        <v>82548.81</v>
      </c>
      <c r="H301" s="42">
        <f t="shared" si="15"/>
        <v>60866.41</v>
      </c>
      <c r="I301" s="42">
        <f t="shared" si="15"/>
        <v>8487.5300000000007</v>
      </c>
      <c r="J301" s="42">
        <f t="shared" si="15"/>
        <v>16011.42</v>
      </c>
      <c r="K301" s="42">
        <f t="shared" si="15"/>
        <v>0</v>
      </c>
      <c r="L301" s="41">
        <f t="shared" si="15"/>
        <v>381052.65000000008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16814.310000000001</v>
      </c>
      <c r="G306" s="18">
        <v>2496.36</v>
      </c>
      <c r="H306" s="18">
        <v>1781.1</v>
      </c>
      <c r="I306" s="18"/>
      <c r="J306" s="18">
        <v>6655</v>
      </c>
      <c r="K306" s="18"/>
      <c r="L306" s="19">
        <f>SUM(F306:K306)</f>
        <v>27746.77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70375.570000000007</v>
      </c>
      <c r="G307" s="18">
        <v>39576.82</v>
      </c>
      <c r="H307" s="18">
        <v>2120</v>
      </c>
      <c r="I307" s="18">
        <v>5853.33</v>
      </c>
      <c r="J307" s="18">
        <v>5336.57</v>
      </c>
      <c r="K307" s="18"/>
      <c r="L307" s="19">
        <f>SUM(F307:K307)</f>
        <v>123262.29000000001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3937.38</v>
      </c>
      <c r="G309" s="18">
        <v>302.58999999999997</v>
      </c>
      <c r="H309" s="18">
        <v>11940.89</v>
      </c>
      <c r="I309" s="18"/>
      <c r="J309" s="18"/>
      <c r="K309" s="18"/>
      <c r="L309" s="19">
        <f>SUM(F309:K309)</f>
        <v>16180.86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53342.87</v>
      </c>
      <c r="G311" s="18">
        <v>13667.51</v>
      </c>
      <c r="H311" s="18"/>
      <c r="I311" s="18"/>
      <c r="J311" s="18">
        <v>434.15</v>
      </c>
      <c r="K311" s="18"/>
      <c r="L311" s="19">
        <f t="shared" ref="L311:L317" si="16">SUM(F311:K311)</f>
        <v>67444.53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3365.79</v>
      </c>
      <c r="G312" s="18">
        <v>448.15</v>
      </c>
      <c r="H312" s="18">
        <v>9536.9500000000007</v>
      </c>
      <c r="I312" s="18">
        <v>1005.48</v>
      </c>
      <c r="J312" s="18"/>
      <c r="K312" s="18"/>
      <c r="L312" s="19">
        <f t="shared" si="16"/>
        <v>14356.37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2827.22</v>
      </c>
      <c r="I317" s="18"/>
      <c r="J317" s="18"/>
      <c r="K317" s="18"/>
      <c r="L317" s="19">
        <f t="shared" si="16"/>
        <v>2827.22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147835.92000000001</v>
      </c>
      <c r="G320" s="42">
        <f t="shared" si="17"/>
        <v>56491.43</v>
      </c>
      <c r="H320" s="42">
        <f t="shared" si="17"/>
        <v>28206.160000000003</v>
      </c>
      <c r="I320" s="42">
        <f t="shared" si="17"/>
        <v>6858.8099999999995</v>
      </c>
      <c r="J320" s="42">
        <f t="shared" si="17"/>
        <v>12425.72</v>
      </c>
      <c r="K320" s="42">
        <f t="shared" si="17"/>
        <v>0</v>
      </c>
      <c r="L320" s="41">
        <f t="shared" si="17"/>
        <v>251818.03999999998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>
        <v>51650.5</v>
      </c>
      <c r="I328" s="18"/>
      <c r="J328" s="18"/>
      <c r="K328" s="18"/>
      <c r="L328" s="19">
        <f t="shared" si="18"/>
        <v>51650.5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51650.5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51650.5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585129.89</v>
      </c>
      <c r="G330" s="41">
        <f t="shared" si="20"/>
        <v>216410.15999999997</v>
      </c>
      <c r="H330" s="41">
        <f t="shared" si="20"/>
        <v>164803.63</v>
      </c>
      <c r="I330" s="41">
        <f t="shared" si="20"/>
        <v>27653.519999999997</v>
      </c>
      <c r="J330" s="41">
        <f t="shared" si="20"/>
        <v>44850.97</v>
      </c>
      <c r="K330" s="41">
        <f t="shared" si="20"/>
        <v>0</v>
      </c>
      <c r="L330" s="41">
        <f t="shared" si="20"/>
        <v>1038848.1700000002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585129.89</v>
      </c>
      <c r="G344" s="41">
        <f>G330</f>
        <v>216410.15999999997</v>
      </c>
      <c r="H344" s="41">
        <f>H330</f>
        <v>164803.63</v>
      </c>
      <c r="I344" s="41">
        <f>I330</f>
        <v>27653.519999999997</v>
      </c>
      <c r="J344" s="41">
        <f>J330</f>
        <v>44850.97</v>
      </c>
      <c r="K344" s="47">
        <f>K330+K343</f>
        <v>0</v>
      </c>
      <c r="L344" s="41">
        <f>L330+L343</f>
        <v>1038848.1700000002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86222.39</v>
      </c>
      <c r="G350" s="18">
        <v>38044.57</v>
      </c>
      <c r="H350" s="18">
        <v>6048.53</v>
      </c>
      <c r="I350" s="18">
        <v>56495.53</v>
      </c>
      <c r="J350" s="18"/>
      <c r="K350" s="18"/>
      <c r="L350" s="13">
        <f>SUM(F350:K350)</f>
        <v>186811.02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74397.59</v>
      </c>
      <c r="G351" s="18">
        <v>32827.03</v>
      </c>
      <c r="H351" s="18">
        <v>2731.08</v>
      </c>
      <c r="I351" s="18">
        <v>64003.19</v>
      </c>
      <c r="J351" s="18">
        <v>250</v>
      </c>
      <c r="K351" s="18"/>
      <c r="L351" s="19">
        <f>SUM(F351:K351)</f>
        <v>174208.89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72046.320000000007</v>
      </c>
      <c r="G352" s="18">
        <v>31789.56</v>
      </c>
      <c r="H352" s="18">
        <v>2387.86</v>
      </c>
      <c r="I352" s="18">
        <v>105381.99</v>
      </c>
      <c r="J352" s="18">
        <v>506.48</v>
      </c>
      <c r="K352" s="18"/>
      <c r="L352" s="19">
        <f>SUM(F352:K352)</f>
        <v>212112.21000000002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232666.3</v>
      </c>
      <c r="G354" s="47">
        <f t="shared" si="22"/>
        <v>102661.16</v>
      </c>
      <c r="H354" s="47">
        <f t="shared" si="22"/>
        <v>11167.470000000001</v>
      </c>
      <c r="I354" s="47">
        <f t="shared" si="22"/>
        <v>225880.71000000002</v>
      </c>
      <c r="J354" s="47">
        <f t="shared" si="22"/>
        <v>756.48</v>
      </c>
      <c r="K354" s="47">
        <f t="shared" si="22"/>
        <v>0</v>
      </c>
      <c r="L354" s="47">
        <f t="shared" si="22"/>
        <v>573132.12000000011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46285.06</v>
      </c>
      <c r="G359" s="18">
        <v>59239.66</v>
      </c>
      <c r="H359" s="18">
        <v>94875.74</v>
      </c>
      <c r="I359" s="56">
        <f>SUM(F359:H359)</f>
        <v>200400.46000000002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10210.469999999999</v>
      </c>
      <c r="G360" s="63">
        <v>4763.53</v>
      </c>
      <c r="H360" s="63">
        <v>10506.25</v>
      </c>
      <c r="I360" s="56">
        <f>SUM(F360:H360)</f>
        <v>25480.25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56495.53</v>
      </c>
      <c r="G361" s="47">
        <f>SUM(G359:G360)</f>
        <v>64003.19</v>
      </c>
      <c r="H361" s="47">
        <f>SUM(H359:H360)</f>
        <v>105381.99</v>
      </c>
      <c r="I361" s="47">
        <f>SUM(I359:I360)</f>
        <v>225880.71000000002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>
        <v>313.7</v>
      </c>
      <c r="I379" s="18"/>
      <c r="J379" s="24" t="s">
        <v>312</v>
      </c>
      <c r="K379" s="24" t="s">
        <v>312</v>
      </c>
      <c r="L379" s="56">
        <f t="shared" ref="L379:L384" si="25">SUM(F379:K379)</f>
        <v>313.7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313.7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313.7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50000</v>
      </c>
      <c r="H388" s="18">
        <v>618.24</v>
      </c>
      <c r="I388" s="18"/>
      <c r="J388" s="24" t="s">
        <v>312</v>
      </c>
      <c r="K388" s="24" t="s">
        <v>312</v>
      </c>
      <c r="L388" s="56">
        <f t="shared" si="26"/>
        <v>50618.239999999998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532.44000000000005</v>
      </c>
      <c r="I389" s="18"/>
      <c r="J389" s="24" t="s">
        <v>312</v>
      </c>
      <c r="K389" s="24" t="s">
        <v>312</v>
      </c>
      <c r="L389" s="56">
        <f t="shared" si="26"/>
        <v>532.44000000000005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50000</v>
      </c>
      <c r="H392" s="18">
        <f>12.37+91.94</f>
        <v>104.31</v>
      </c>
      <c r="I392" s="18"/>
      <c r="J392" s="24" t="s">
        <v>312</v>
      </c>
      <c r="K392" s="24" t="s">
        <v>312</v>
      </c>
      <c r="L392" s="56">
        <f t="shared" si="26"/>
        <v>50104.31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100000</v>
      </c>
      <c r="H393" s="47">
        <f>SUM(H387:H392)</f>
        <v>1254.99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101254.98999999999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100000</v>
      </c>
      <c r="H400" s="47">
        <f>H385+H393+H399</f>
        <v>1568.69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101568.68999999999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51650.5</v>
      </c>
      <c r="L407" s="56">
        <f t="shared" si="27"/>
        <v>51650.5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51650.5</v>
      </c>
      <c r="L411" s="47">
        <f t="shared" si="28"/>
        <v>51650.5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51650.5</v>
      </c>
      <c r="L426" s="47">
        <f t="shared" si="32"/>
        <v>51650.5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119594.85</v>
      </c>
      <c r="G432" s="18">
        <f>251929.74+204118.42+5012.37+50091.94</f>
        <v>511152.47000000003</v>
      </c>
      <c r="H432" s="18"/>
      <c r="I432" s="56">
        <f t="shared" si="33"/>
        <v>630747.32000000007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119594.85</v>
      </c>
      <c r="G438" s="13">
        <f>SUM(G431:G437)</f>
        <v>511152.47000000003</v>
      </c>
      <c r="H438" s="13">
        <f>SUM(H431:H437)</f>
        <v>0</v>
      </c>
      <c r="I438" s="13">
        <f>SUM(I431:I437)</f>
        <v>630747.32000000007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>
        <v>51650.5</v>
      </c>
      <c r="H441" s="18"/>
      <c r="I441" s="56">
        <f>SUM(F441:H441)</f>
        <v>51650.5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51650.5</v>
      </c>
      <c r="H444" s="72">
        <f>SUM(H440:H443)</f>
        <v>0</v>
      </c>
      <c r="I444" s="72">
        <f>SUM(I440:I443)</f>
        <v>51650.5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119594.85</v>
      </c>
      <c r="G449" s="18">
        <f>511152.47-51650.5</f>
        <v>459501.97</v>
      </c>
      <c r="H449" s="18"/>
      <c r="I449" s="56">
        <f>SUM(F449:H449)</f>
        <v>579096.81999999995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119594.85</v>
      </c>
      <c r="G450" s="83">
        <f>SUM(G446:G449)</f>
        <v>459501.97</v>
      </c>
      <c r="H450" s="83">
        <f>SUM(H446:H449)</f>
        <v>0</v>
      </c>
      <c r="I450" s="83">
        <f>SUM(I446:I449)</f>
        <v>579096.81999999995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119594.85</v>
      </c>
      <c r="G451" s="42">
        <f>G444+G450</f>
        <v>511152.47</v>
      </c>
      <c r="H451" s="42">
        <f>H444+H450</f>
        <v>0</v>
      </c>
      <c r="I451" s="42">
        <f>I444+I450</f>
        <v>630747.31999999995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1136417.1200000001</v>
      </c>
      <c r="G455" s="18">
        <v>0</v>
      </c>
      <c r="H455" s="18">
        <v>0</v>
      </c>
      <c r="I455" s="18"/>
      <c r="J455" s="18">
        <v>529178.63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16660271.529999999</v>
      </c>
      <c r="G458" s="18">
        <v>573132.12</v>
      </c>
      <c r="H458" s="18">
        <v>1038848.17</v>
      </c>
      <c r="I458" s="18"/>
      <c r="J458" s="18">
        <f>156568.69-55000</f>
        <v>101568.69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16660271.529999999</v>
      </c>
      <c r="G460" s="53">
        <f>SUM(G458:G459)</f>
        <v>573132.12</v>
      </c>
      <c r="H460" s="53">
        <f>SUM(H458:H459)</f>
        <v>1038848.17</v>
      </c>
      <c r="I460" s="53">
        <f>SUM(I458:I459)</f>
        <v>0</v>
      </c>
      <c r="J460" s="53">
        <f>SUM(J458:J459)</f>
        <v>101568.69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17261993.32</v>
      </c>
      <c r="G462" s="18">
        <v>573132.12</v>
      </c>
      <c r="H462" s="18">
        <v>1038848.17</v>
      </c>
      <c r="I462" s="18"/>
      <c r="J462" s="18">
        <v>51650.5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17261993.32</v>
      </c>
      <c r="G464" s="53">
        <f>SUM(G462:G463)</f>
        <v>573132.12</v>
      </c>
      <c r="H464" s="53">
        <f>SUM(H462:H463)</f>
        <v>1038848.17</v>
      </c>
      <c r="I464" s="53">
        <f>SUM(I462:I463)</f>
        <v>0</v>
      </c>
      <c r="J464" s="53">
        <f>SUM(J462:J463)</f>
        <v>51650.5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534695.32999999821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579096.82000000007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7500000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4.75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2000000</v>
      </c>
      <c r="G485" s="18"/>
      <c r="H485" s="18"/>
      <c r="I485" s="18"/>
      <c r="J485" s="18"/>
      <c r="K485" s="53">
        <f>SUM(F485:J485)</f>
        <v>2000000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500000</v>
      </c>
      <c r="G487" s="18"/>
      <c r="H487" s="18"/>
      <c r="I487" s="18"/>
      <c r="J487" s="18"/>
      <c r="K487" s="53">
        <f t="shared" si="34"/>
        <v>500000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1500000</v>
      </c>
      <c r="G488" s="205"/>
      <c r="H488" s="205"/>
      <c r="I488" s="205"/>
      <c r="J488" s="205"/>
      <c r="K488" s="206">
        <f t="shared" si="34"/>
        <v>1500000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35875+24000+24000+12000+12000</f>
        <v>107875</v>
      </c>
      <c r="G489" s="18"/>
      <c r="H489" s="18"/>
      <c r="I489" s="18"/>
      <c r="J489" s="18"/>
      <c r="K489" s="53">
        <f t="shared" si="34"/>
        <v>107875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1607875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1607875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500000</v>
      </c>
      <c r="G491" s="205"/>
      <c r="H491" s="205"/>
      <c r="I491" s="205"/>
      <c r="J491" s="205"/>
      <c r="K491" s="206">
        <f t="shared" si="34"/>
        <v>500000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35875+24000</f>
        <v>59875</v>
      </c>
      <c r="G492" s="18"/>
      <c r="H492" s="18"/>
      <c r="I492" s="18"/>
      <c r="J492" s="18"/>
      <c r="K492" s="53">
        <f t="shared" si="34"/>
        <v>59875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559875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559875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375193.83+33738</f>
        <v>408931.83</v>
      </c>
      <c r="G511" s="18">
        <f>157751.32+15008.57</f>
        <v>172759.89</v>
      </c>
      <c r="H511" s="18">
        <v>331381.58</v>
      </c>
      <c r="I511" s="18">
        <f>1792.05+5925.6</f>
        <v>7717.6500000000005</v>
      </c>
      <c r="J511" s="18">
        <f>204.59+7495.94</f>
        <v>7700.53</v>
      </c>
      <c r="K511" s="18"/>
      <c r="L511" s="88">
        <f>SUM(F511:K511)</f>
        <v>928491.4800000001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228312.96+73831.62</f>
        <v>302144.57999999996</v>
      </c>
      <c r="G512" s="18">
        <f>95520.59+40847.32</f>
        <v>136367.91</v>
      </c>
      <c r="H512" s="18">
        <v>239476.62</v>
      </c>
      <c r="I512" s="18">
        <f>3257.62+5304.58</f>
        <v>8562.2000000000007</v>
      </c>
      <c r="J512" s="18">
        <f>1221.7+4836.27</f>
        <v>6057.97</v>
      </c>
      <c r="K512" s="18"/>
      <c r="L512" s="88">
        <f>SUM(F512:K512)</f>
        <v>692609.27999999991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193061.5+70375.57</f>
        <v>263437.07</v>
      </c>
      <c r="G513" s="18">
        <f>80356.87+39576.82</f>
        <v>119933.69</v>
      </c>
      <c r="H513" s="18">
        <v>11557.2</v>
      </c>
      <c r="I513" s="18">
        <f>2703.4+5853.33</f>
        <v>8556.73</v>
      </c>
      <c r="J513" s="18">
        <v>5336.57</v>
      </c>
      <c r="K513" s="18"/>
      <c r="L513" s="88">
        <f>SUM(F513:K513)</f>
        <v>408821.26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974513.48</v>
      </c>
      <c r="G514" s="108">
        <f t="shared" ref="G514:L514" si="35">SUM(G511:G513)</f>
        <v>429061.49000000005</v>
      </c>
      <c r="H514" s="108">
        <f t="shared" si="35"/>
        <v>582415.39999999991</v>
      </c>
      <c r="I514" s="108">
        <f t="shared" si="35"/>
        <v>24836.58</v>
      </c>
      <c r="J514" s="108">
        <f t="shared" si="35"/>
        <v>19095.07</v>
      </c>
      <c r="K514" s="108">
        <f t="shared" si="35"/>
        <v>0</v>
      </c>
      <c r="L514" s="89">
        <f t="shared" si="35"/>
        <v>2029922.02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61124.78+48330.57</f>
        <v>109455.35</v>
      </c>
      <c r="G516" s="18">
        <f>17284.99+13390.66</f>
        <v>30675.65</v>
      </c>
      <c r="H516" s="18">
        <v>4115.53</v>
      </c>
      <c r="I516" s="18">
        <v>1811.05</v>
      </c>
      <c r="J516" s="18">
        <v>440.36</v>
      </c>
      <c r="K516" s="18"/>
      <c r="L516" s="88">
        <f>SUM(F516:K516)</f>
        <v>146497.93999999997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54612.79+43181.62</f>
        <v>97794.41</v>
      </c>
      <c r="G517" s="18">
        <f>15443.53+11964.07</f>
        <v>27407.599999999999</v>
      </c>
      <c r="H517" s="18">
        <v>2711.25</v>
      </c>
      <c r="I517" s="18">
        <v>1618.11</v>
      </c>
      <c r="J517" s="18">
        <v>393.44</v>
      </c>
      <c r="K517" s="18"/>
      <c r="L517" s="88">
        <f>SUM(F517:K517)</f>
        <v>129924.81000000001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60262.38+47648.69</f>
        <v>107911.07</v>
      </c>
      <c r="G518" s="18">
        <f>17041.14+13201.73</f>
        <v>30242.87</v>
      </c>
      <c r="H518" s="18">
        <v>2991.72</v>
      </c>
      <c r="I518" s="18">
        <v>1785.49</v>
      </c>
      <c r="J518" s="18">
        <v>434.15</v>
      </c>
      <c r="K518" s="18"/>
      <c r="L518" s="88">
        <f>SUM(F518:K518)</f>
        <v>143365.29999999999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315160.83</v>
      </c>
      <c r="G519" s="89">
        <f t="shared" ref="G519:L519" si="36">SUM(G516:G518)</f>
        <v>88326.12</v>
      </c>
      <c r="H519" s="89">
        <f t="shared" si="36"/>
        <v>9818.5</v>
      </c>
      <c r="I519" s="89">
        <f t="shared" si="36"/>
        <v>5214.6499999999996</v>
      </c>
      <c r="J519" s="89">
        <f t="shared" si="36"/>
        <v>1267.9499999999998</v>
      </c>
      <c r="K519" s="89">
        <f t="shared" si="36"/>
        <v>0</v>
      </c>
      <c r="L519" s="89">
        <f t="shared" si="36"/>
        <v>419788.05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32155.47</v>
      </c>
      <c r="G521" s="18">
        <v>15857.28</v>
      </c>
      <c r="H521" s="18">
        <v>41560.339999999997</v>
      </c>
      <c r="I521" s="18">
        <v>676.6</v>
      </c>
      <c r="J521" s="18">
        <v>15.2</v>
      </c>
      <c r="K521" s="18">
        <v>184.07</v>
      </c>
      <c r="L521" s="88">
        <f>SUM(F521:K521)</f>
        <v>90448.960000000006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28729.75</v>
      </c>
      <c r="G522" s="18">
        <v>14167.9</v>
      </c>
      <c r="H522" s="18">
        <v>13917.96</v>
      </c>
      <c r="I522" s="18">
        <v>604.52</v>
      </c>
      <c r="J522" s="18">
        <v>13.58</v>
      </c>
      <c r="K522" s="18">
        <v>164.46</v>
      </c>
      <c r="L522" s="88">
        <f>SUM(F522:K522)</f>
        <v>57598.17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31701.78</v>
      </c>
      <c r="G523" s="18">
        <v>15633.56</v>
      </c>
      <c r="H523" s="18">
        <v>15288.81</v>
      </c>
      <c r="I523" s="18">
        <v>667.05</v>
      </c>
      <c r="J523" s="18">
        <v>14.99</v>
      </c>
      <c r="K523" s="18">
        <v>181.47</v>
      </c>
      <c r="L523" s="88">
        <f>SUM(F523:K523)</f>
        <v>63487.659999999996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92587</v>
      </c>
      <c r="G524" s="89">
        <f t="shared" ref="G524:L524" si="37">SUM(G521:G523)</f>
        <v>45658.74</v>
      </c>
      <c r="H524" s="89">
        <f t="shared" si="37"/>
        <v>70767.11</v>
      </c>
      <c r="I524" s="89">
        <f t="shared" si="37"/>
        <v>1948.1699999999998</v>
      </c>
      <c r="J524" s="89">
        <f t="shared" si="37"/>
        <v>43.77</v>
      </c>
      <c r="K524" s="89">
        <f t="shared" si="37"/>
        <v>530</v>
      </c>
      <c r="L524" s="89">
        <f t="shared" si="37"/>
        <v>211534.79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36.47</v>
      </c>
      <c r="I526" s="18"/>
      <c r="J526" s="18"/>
      <c r="K526" s="18"/>
      <c r="L526" s="88">
        <f>SUM(F526:K526)</f>
        <v>36.47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32.58</v>
      </c>
      <c r="I527" s="18"/>
      <c r="J527" s="18"/>
      <c r="K527" s="18"/>
      <c r="L527" s="88">
        <f>SUM(F527:K527)</f>
        <v>32.58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35.965000000000003</v>
      </c>
      <c r="I528" s="18"/>
      <c r="J528" s="18"/>
      <c r="K528" s="18"/>
      <c r="L528" s="88">
        <f>SUM(F528:K528)</f>
        <v>35.965000000000003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105.015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105.015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71697.600000000006</v>
      </c>
      <c r="I531" s="18"/>
      <c r="J531" s="18"/>
      <c r="K531" s="18"/>
      <c r="L531" s="88">
        <f>SUM(F531:K531)</f>
        <v>71697.600000000006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34910.75</v>
      </c>
      <c r="I532" s="18"/>
      <c r="J532" s="18"/>
      <c r="K532" s="18"/>
      <c r="L532" s="88">
        <f>SUM(F532:K532)</f>
        <v>34910.75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7407.23</v>
      </c>
      <c r="I533" s="18"/>
      <c r="J533" s="18"/>
      <c r="K533" s="18"/>
      <c r="L533" s="88">
        <f>SUM(F533:K533)</f>
        <v>7407.23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114015.58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114015.58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1382261.31</v>
      </c>
      <c r="G535" s="89">
        <f t="shared" ref="G535:L535" si="40">G514+G519+G524+G529+G534</f>
        <v>563046.35000000009</v>
      </c>
      <c r="H535" s="89">
        <f t="shared" si="40"/>
        <v>777121.60499999986</v>
      </c>
      <c r="I535" s="89">
        <f t="shared" si="40"/>
        <v>31999.4</v>
      </c>
      <c r="J535" s="89">
        <f t="shared" si="40"/>
        <v>20406.79</v>
      </c>
      <c r="K535" s="89">
        <f t="shared" si="40"/>
        <v>530</v>
      </c>
      <c r="L535" s="89">
        <f t="shared" si="40"/>
        <v>2775365.4550000001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928491.4800000001</v>
      </c>
      <c r="G539" s="87">
        <f>L516</f>
        <v>146497.93999999997</v>
      </c>
      <c r="H539" s="87">
        <f>L521</f>
        <v>90448.960000000006</v>
      </c>
      <c r="I539" s="87">
        <f>L526</f>
        <v>36.47</v>
      </c>
      <c r="J539" s="87">
        <f>L531</f>
        <v>71697.600000000006</v>
      </c>
      <c r="K539" s="87">
        <f>SUM(F539:J539)</f>
        <v>1237172.4500000002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692609.27999999991</v>
      </c>
      <c r="G540" s="87">
        <f>L517</f>
        <v>129924.81000000001</v>
      </c>
      <c r="H540" s="87">
        <f>L522</f>
        <v>57598.17</v>
      </c>
      <c r="I540" s="87">
        <f>L527</f>
        <v>32.58</v>
      </c>
      <c r="J540" s="87">
        <f>L532</f>
        <v>34910.75</v>
      </c>
      <c r="K540" s="87">
        <f>SUM(F540:J540)</f>
        <v>915075.59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408821.26</v>
      </c>
      <c r="G541" s="87">
        <f>L518</f>
        <v>143365.29999999999</v>
      </c>
      <c r="H541" s="87">
        <f>L523</f>
        <v>63487.659999999996</v>
      </c>
      <c r="I541" s="87">
        <f>L528</f>
        <v>35.965000000000003</v>
      </c>
      <c r="J541" s="87">
        <f>L533</f>
        <v>7407.23</v>
      </c>
      <c r="K541" s="87">
        <f>SUM(F541:J541)</f>
        <v>623117.41500000004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2029922.02</v>
      </c>
      <c r="G542" s="89">
        <f t="shared" si="41"/>
        <v>419788.05</v>
      </c>
      <c r="H542" s="89">
        <f t="shared" si="41"/>
        <v>211534.79</v>
      </c>
      <c r="I542" s="89">
        <f t="shared" si="41"/>
        <v>105.015</v>
      </c>
      <c r="J542" s="89">
        <f t="shared" si="41"/>
        <v>114015.58</v>
      </c>
      <c r="K542" s="89">
        <f t="shared" si="41"/>
        <v>2775365.4550000001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4194.26</v>
      </c>
      <c r="G552" s="18">
        <v>3173.34</v>
      </c>
      <c r="H552" s="18"/>
      <c r="I552" s="18"/>
      <c r="J552" s="18"/>
      <c r="K552" s="18"/>
      <c r="L552" s="88">
        <f>SUM(F552:K552)</f>
        <v>7367.6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3747.42</v>
      </c>
      <c r="G553" s="18">
        <v>2835.27</v>
      </c>
      <c r="H553" s="18"/>
      <c r="I553" s="18"/>
      <c r="J553" s="18"/>
      <c r="K553" s="18"/>
      <c r="L553" s="88">
        <f>SUM(F553:K553)</f>
        <v>6582.6900000000005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4135.07</v>
      </c>
      <c r="G554" s="18">
        <v>3128.58</v>
      </c>
      <c r="H554" s="18"/>
      <c r="I554" s="18"/>
      <c r="J554" s="18"/>
      <c r="K554" s="18"/>
      <c r="L554" s="88">
        <f>SUM(F554:K554)</f>
        <v>7263.65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12076.75</v>
      </c>
      <c r="G555" s="89">
        <f t="shared" si="43"/>
        <v>9137.19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21213.940000000002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37413.599999999999</v>
      </c>
      <c r="G557" s="18">
        <v>5400.79</v>
      </c>
      <c r="H557" s="18"/>
      <c r="I557" s="18">
        <v>287.05</v>
      </c>
      <c r="J557" s="18"/>
      <c r="K557" s="18"/>
      <c r="L557" s="88">
        <f>SUM(F557:K557)</f>
        <v>43101.440000000002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35254.800000000003</v>
      </c>
      <c r="G558" s="18">
        <v>5229.8999999999996</v>
      </c>
      <c r="H558" s="18"/>
      <c r="I558" s="18">
        <f>7981.97+1791797.92</f>
        <v>1799779.89</v>
      </c>
      <c r="J558" s="18"/>
      <c r="K558" s="18">
        <v>1057</v>
      </c>
      <c r="L558" s="88">
        <f>SUM(F558:K558)</f>
        <v>1841321.5899999999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72668.399999999994</v>
      </c>
      <c r="G560" s="194">
        <f t="shared" ref="G560:L560" si="44">SUM(G557:G559)</f>
        <v>10630.689999999999</v>
      </c>
      <c r="H560" s="194">
        <f t="shared" si="44"/>
        <v>0</v>
      </c>
      <c r="I560" s="194">
        <f t="shared" si="44"/>
        <v>1800066.94</v>
      </c>
      <c r="J560" s="194">
        <f t="shared" si="44"/>
        <v>0</v>
      </c>
      <c r="K560" s="194">
        <f t="shared" si="44"/>
        <v>1057</v>
      </c>
      <c r="L560" s="194">
        <f t="shared" si="44"/>
        <v>1884423.0299999998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84745.15</v>
      </c>
      <c r="G561" s="89">
        <f t="shared" ref="G561:L561" si="45">G550+G555+G560</f>
        <v>19767.879999999997</v>
      </c>
      <c r="H561" s="89">
        <f t="shared" si="45"/>
        <v>0</v>
      </c>
      <c r="I561" s="89">
        <f t="shared" si="45"/>
        <v>1800066.94</v>
      </c>
      <c r="J561" s="89">
        <f t="shared" si="45"/>
        <v>0</v>
      </c>
      <c r="K561" s="89">
        <f t="shared" si="45"/>
        <v>1057</v>
      </c>
      <c r="L561" s="89">
        <f t="shared" si="45"/>
        <v>1905636.9699999997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>
        <v>225105.75</v>
      </c>
      <c r="H568" s="18"/>
      <c r="I568" s="87">
        <f t="shared" si="46"/>
        <v>225105.75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32810.75</v>
      </c>
      <c r="G569" s="18">
        <v>14370.87</v>
      </c>
      <c r="H569" s="18">
        <v>11291.4</v>
      </c>
      <c r="I569" s="87">
        <f t="shared" si="46"/>
        <v>58473.020000000004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2120</v>
      </c>
      <c r="I572" s="87">
        <f t="shared" si="46"/>
        <v>2120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1590</v>
      </c>
      <c r="G573" s="18"/>
      <c r="H573" s="18">
        <v>8900</v>
      </c>
      <c r="I573" s="87">
        <f t="shared" si="46"/>
        <v>10490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60981.85</v>
      </c>
      <c r="I574" s="87">
        <f t="shared" si="46"/>
        <v>60981.85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309328.45</v>
      </c>
      <c r="I581" s="18">
        <v>237661.88</v>
      </c>
      <c r="J581" s="18">
        <v>65520.68</v>
      </c>
      <c r="K581" s="104">
        <f t="shared" ref="K581:K587" si="47">SUM(H581:J581)</f>
        <v>612511.01000000013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72558.009999999995</v>
      </c>
      <c r="I582" s="18">
        <v>34910.75</v>
      </c>
      <c r="J582" s="18">
        <v>7407.23</v>
      </c>
      <c r="K582" s="104">
        <f t="shared" si="47"/>
        <v>114875.98999999999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56326</v>
      </c>
      <c r="K583" s="104">
        <f t="shared" si="47"/>
        <v>56326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2018.47</v>
      </c>
      <c r="J584" s="18">
        <v>38351.01</v>
      </c>
      <c r="K584" s="104">
        <f t="shared" si="47"/>
        <v>40369.480000000003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7434.4</v>
      </c>
      <c r="I585" s="18">
        <v>9599.6200000000008</v>
      </c>
      <c r="J585" s="18">
        <v>20520.28</v>
      </c>
      <c r="K585" s="104">
        <f t="shared" si="47"/>
        <v>37554.300000000003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>
        <v>470.1</v>
      </c>
      <c r="J587" s="18">
        <v>8931.9</v>
      </c>
      <c r="K587" s="104">
        <f t="shared" si="47"/>
        <v>9402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389320.86000000004</v>
      </c>
      <c r="I588" s="108">
        <f>SUM(I581:I587)</f>
        <v>284660.81999999995</v>
      </c>
      <c r="J588" s="108">
        <f>SUM(J581:J587)</f>
        <v>197057.1</v>
      </c>
      <c r="K588" s="108">
        <f>SUM(K581:K587)</f>
        <v>871038.78000000014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68870.14</v>
      </c>
      <c r="I594" s="18">
        <f>65815.57-250</f>
        <v>65565.570000000007</v>
      </c>
      <c r="J594" s="18">
        <f>81168.56-506.48</f>
        <v>80662.080000000002</v>
      </c>
      <c r="K594" s="104">
        <f>SUM(H594:J594)</f>
        <v>215097.79000000004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68870.14</v>
      </c>
      <c r="I595" s="108">
        <f>SUM(I592:I594)</f>
        <v>65565.570000000007</v>
      </c>
      <c r="J595" s="108">
        <f>SUM(J592:J594)</f>
        <v>80662.080000000002</v>
      </c>
      <c r="K595" s="108">
        <f>SUM(K592:K594)</f>
        <v>215097.79000000004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7042.8</v>
      </c>
      <c r="G601" s="18">
        <v>903.21</v>
      </c>
      <c r="H601" s="18"/>
      <c r="I601" s="18"/>
      <c r="J601" s="18"/>
      <c r="K601" s="18"/>
      <c r="L601" s="88">
        <f>SUM(F601:K601)</f>
        <v>7946.01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1062.8</v>
      </c>
      <c r="G602" s="18">
        <v>155.13</v>
      </c>
      <c r="H602" s="18"/>
      <c r="I602" s="18"/>
      <c r="J602" s="18"/>
      <c r="K602" s="18"/>
      <c r="L602" s="88">
        <f>SUM(F602:K602)</f>
        <v>1217.9299999999998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8105.6</v>
      </c>
      <c r="G604" s="108">
        <f t="shared" si="48"/>
        <v>1058.3400000000001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9163.94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601074.64999999991</v>
      </c>
      <c r="H607" s="109">
        <f>SUM(F44)</f>
        <v>601074.65000000014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71795.459999999992</v>
      </c>
      <c r="H608" s="109">
        <f>SUM(G44)</f>
        <v>71795.460000000006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494123.68</v>
      </c>
      <c r="H609" s="109">
        <f>SUM(H44)</f>
        <v>494123.68000000028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630747.32000000007</v>
      </c>
      <c r="H611" s="109">
        <f>SUM(J44)</f>
        <v>630747.31999999995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534695.33000000007</v>
      </c>
      <c r="H612" s="109">
        <f>F466</f>
        <v>534695.32999999821</v>
      </c>
      <c r="I612" s="121" t="s">
        <v>106</v>
      </c>
      <c r="J612" s="109">
        <f t="shared" ref="J612:J645" si="49">G612-H612</f>
        <v>1.862645149230957E-9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579096.81999999995</v>
      </c>
      <c r="H616" s="109">
        <f>J466</f>
        <v>579096.82000000007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16660271.530000001</v>
      </c>
      <c r="H617" s="104">
        <f>SUM(F458)</f>
        <v>16660271.529999999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573132.12</v>
      </c>
      <c r="H618" s="104">
        <f>SUM(G458)</f>
        <v>573132.12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1038848.17</v>
      </c>
      <c r="H619" s="104">
        <f>SUM(H458)</f>
        <v>1038848.17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101568.69</v>
      </c>
      <c r="H621" s="104">
        <f>SUM(J458)</f>
        <v>101568.69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17261993.32</v>
      </c>
      <c r="H622" s="104">
        <f>SUM(F462)</f>
        <v>17261993.32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1038848.1700000002</v>
      </c>
      <c r="H623" s="104">
        <f>SUM(H462)</f>
        <v>1038848.17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225880.71000000002</v>
      </c>
      <c r="H624" s="104">
        <f>I361</f>
        <v>225880.71000000002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573132.12000000011</v>
      </c>
      <c r="H625" s="104">
        <f>SUM(G462)</f>
        <v>573132.12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101568.68999999999</v>
      </c>
      <c r="H627" s="164">
        <f>SUM(J458)</f>
        <v>101568.69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51650.5</v>
      </c>
      <c r="H628" s="164">
        <f>SUM(J462)</f>
        <v>51650.5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119594.85</v>
      </c>
      <c r="H629" s="104">
        <f>SUM(F451)</f>
        <v>119594.85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511152.47000000003</v>
      </c>
      <c r="H630" s="104">
        <f>SUM(G451)</f>
        <v>511152.47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630747.32000000007</v>
      </c>
      <c r="H632" s="104">
        <f>SUM(I451)</f>
        <v>630747.31999999995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1568.69</v>
      </c>
      <c r="H634" s="104">
        <f>H400</f>
        <v>1568.69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100000</v>
      </c>
      <c r="H635" s="104">
        <f>G400</f>
        <v>100000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101568.69</v>
      </c>
      <c r="H636" s="104">
        <f>L400</f>
        <v>101568.68999999999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871038.78000000014</v>
      </c>
      <c r="H637" s="104">
        <f>L200+L218+L236</f>
        <v>871038.77999999991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215097.79000000004</v>
      </c>
      <c r="H638" s="104">
        <f>(J249+J330)-(J247+J328)</f>
        <v>215097.79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389320.86</v>
      </c>
      <c r="H639" s="104">
        <f>H588</f>
        <v>389320.86000000004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284660.82</v>
      </c>
      <c r="H640" s="104">
        <f>I588</f>
        <v>284660.81999999995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197057.1</v>
      </c>
      <c r="H641" s="104">
        <f>J588</f>
        <v>197057.1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16603.310000000001</v>
      </c>
      <c r="H642" s="104">
        <f>K255+K337</f>
        <v>16603.310000000001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100000</v>
      </c>
      <c r="H645" s="104">
        <f>K258+K339</f>
        <v>100000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6553073.8300000001</v>
      </c>
      <c r="G650" s="19">
        <f>(L221+L301+L351)</f>
        <v>5856663.6900000004</v>
      </c>
      <c r="H650" s="19">
        <f>(L239+L320+L352)</f>
        <v>5629778.4799999995</v>
      </c>
      <c r="I650" s="19">
        <f>SUM(F650:H650)</f>
        <v>18039516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105633.27977517954</v>
      </c>
      <c r="G651" s="19">
        <f>(L351/IF(SUM(L350:L352)=0,1,SUM(L350:L352))*(SUM(G89:G102)))</f>
        <v>98507.338682126356</v>
      </c>
      <c r="H651" s="19">
        <f>(L352/IF(SUM(L350:L352)=0,1,SUM(L350:L352))*(SUM(G89:G102)))</f>
        <v>119939.97154269401</v>
      </c>
      <c r="I651" s="19">
        <f>SUM(F651:H651)</f>
        <v>324080.58999999991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395858.16</v>
      </c>
      <c r="G652" s="19">
        <f>(L218+L298)-(J218+J298)</f>
        <v>284660.82</v>
      </c>
      <c r="H652" s="19">
        <f>(L236+L317)-(J236+J317)</f>
        <v>199884.32</v>
      </c>
      <c r="I652" s="19">
        <f>SUM(F652:H652)</f>
        <v>880403.3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111216.9</v>
      </c>
      <c r="G653" s="200">
        <f>SUM(G565:G577)+SUM(I592:I594)+L602</f>
        <v>306260.12</v>
      </c>
      <c r="H653" s="200">
        <f>SUM(H565:H577)+SUM(J592:J594)+L603</f>
        <v>163955.33000000002</v>
      </c>
      <c r="I653" s="19">
        <f>SUM(F653:H653)</f>
        <v>581432.35000000009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5940365.4902248206</v>
      </c>
      <c r="G654" s="19">
        <f>G650-SUM(G651:G653)</f>
        <v>5167235.4113178737</v>
      </c>
      <c r="H654" s="19">
        <f>H650-SUM(H651:H653)</f>
        <v>5145998.8584573055</v>
      </c>
      <c r="I654" s="19">
        <f>I650-SUM(I651:I653)</f>
        <v>16253599.76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490.83</v>
      </c>
      <c r="G655" s="249">
        <v>438.43</v>
      </c>
      <c r="H655" s="249">
        <v>483.76</v>
      </c>
      <c r="I655" s="19">
        <f>SUM(F655:H655)</f>
        <v>1413.02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12102.69</v>
      </c>
      <c r="G657" s="19">
        <f>ROUND(G654/G655,2)</f>
        <v>11785.77</v>
      </c>
      <c r="H657" s="19">
        <f>ROUND(H654/H655,2)</f>
        <v>10637.5</v>
      </c>
      <c r="I657" s="19">
        <f>ROUND(I654/I655,2)</f>
        <v>11502.74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-17.12</v>
      </c>
      <c r="I660" s="19">
        <f>SUM(F660:H660)</f>
        <v>-17.12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12102.69</v>
      </c>
      <c r="G662" s="19">
        <f>ROUND((G654+G659)/(G655+G660),2)</f>
        <v>11785.77</v>
      </c>
      <c r="H662" s="19">
        <f>ROUND((H654+H659)/(H655+H660),2)</f>
        <v>11027.77</v>
      </c>
      <c r="I662" s="19">
        <f>ROUND((I654+I659)/(I655+I660),2)</f>
        <v>11643.81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41BF-C6C4-40B5-BBC3-C088A3459732}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Shaker Regional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5621449.6399999997</v>
      </c>
      <c r="C9" s="230">
        <f>'DOE25'!G189+'DOE25'!G207+'DOE25'!G225+'DOE25'!G268+'DOE25'!G287+'DOE25'!G306</f>
        <v>2082600.3599999999</v>
      </c>
    </row>
    <row r="10" spans="1:3" x14ac:dyDescent="0.2">
      <c r="A10" t="s">
        <v>813</v>
      </c>
      <c r="B10" s="241">
        <v>5199489.6399999997</v>
      </c>
      <c r="C10" s="241">
        <v>1838695.73</v>
      </c>
    </row>
    <row r="11" spans="1:3" x14ac:dyDescent="0.2">
      <c r="A11" t="s">
        <v>814</v>
      </c>
      <c r="B11" s="241">
        <v>338687.95</v>
      </c>
      <c r="C11" s="241">
        <v>229226.63</v>
      </c>
    </row>
    <row r="12" spans="1:3" x14ac:dyDescent="0.2">
      <c r="A12" t="s">
        <v>815</v>
      </c>
      <c r="B12" s="241">
        <v>83272.05</v>
      </c>
      <c r="C12" s="241">
        <f>6703.4+7974.6</f>
        <v>14678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5621449.6399999997</v>
      </c>
      <c r="C13" s="232">
        <f>SUM(C10:C12)</f>
        <v>2082600.3599999999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1384683.99</v>
      </c>
      <c r="C18" s="230">
        <f>'DOE25'!G190+'DOE25'!G208+'DOE25'!G226+'DOE25'!G269+'DOE25'!G288+'DOE25'!G307</f>
        <v>557299.67000000004</v>
      </c>
    </row>
    <row r="19" spans="1:3" x14ac:dyDescent="0.2">
      <c r="A19" t="s">
        <v>813</v>
      </c>
      <c r="B19" s="241">
        <f>808662.74+174052.78</f>
        <v>982715.52</v>
      </c>
      <c r="C19" s="241">
        <v>299632.05</v>
      </c>
    </row>
    <row r="20" spans="1:3" x14ac:dyDescent="0.2">
      <c r="A20" t="s">
        <v>814</v>
      </c>
      <c r="B20" s="241">
        <f>212651.94+185287.53</f>
        <v>397939.47</v>
      </c>
      <c r="C20" s="241">
        <v>161598.41</v>
      </c>
    </row>
    <row r="21" spans="1:3" x14ac:dyDescent="0.2">
      <c r="A21" t="s">
        <v>815</v>
      </c>
      <c r="B21" s="241">
        <v>4029</v>
      </c>
      <c r="C21" s="241">
        <v>96069.21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1384683.99</v>
      </c>
      <c r="C22" s="232">
        <f>SUM(C19:C21)</f>
        <v>557299.66999999993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24720</v>
      </c>
      <c r="C27" s="235">
        <f>'DOE25'!G191+'DOE25'!G209+'DOE25'!G227+'DOE25'!G270+'DOE25'!G289+'DOE25'!G308</f>
        <v>1950.91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>
        <v>24720</v>
      </c>
      <c r="C29" s="241">
        <v>1950.91</v>
      </c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24720</v>
      </c>
      <c r="C31" s="232">
        <f>SUM(C28:C30)</f>
        <v>1950.91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226283.45999999996</v>
      </c>
      <c r="C36" s="236">
        <f>'DOE25'!G192+'DOE25'!G210+'DOE25'!G228+'DOE25'!G271+'DOE25'!G290+'DOE25'!G309</f>
        <v>37154.899999999994</v>
      </c>
    </row>
    <row r="37" spans="1:3" x14ac:dyDescent="0.2">
      <c r="A37" t="s">
        <v>813</v>
      </c>
      <c r="B37" s="241">
        <v>214863.86</v>
      </c>
      <c r="C37" s="241">
        <v>36235.620000000003</v>
      </c>
    </row>
    <row r="38" spans="1:3" x14ac:dyDescent="0.2">
      <c r="A38" t="s">
        <v>814</v>
      </c>
      <c r="B38" s="241">
        <v>11419.6</v>
      </c>
      <c r="C38" s="241">
        <v>919.28</v>
      </c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226283.46</v>
      </c>
      <c r="C40" s="232">
        <f>SUM(C37:C39)</f>
        <v>37154.9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0BA8-F369-4AC7-A02D-75C8A5A9E646}">
  <sheetPr>
    <tabColor indexed="11"/>
  </sheetPr>
  <dimension ref="A1:I51"/>
  <sheetViews>
    <sheetView workbookViewId="0">
      <pane ySplit="4" topLeftCell="A14" activePane="bottomLeft" state="frozen"/>
      <selection pane="bottomLeft" activeCell="E40" sqref="E4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Shaker Regional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10093417.109999999</v>
      </c>
      <c r="D5" s="20">
        <f>SUM('DOE25'!L189:L192)+SUM('DOE25'!L207:L210)+SUM('DOE25'!L225:L228)-F5-G5</f>
        <v>10048320.32</v>
      </c>
      <c r="E5" s="244"/>
      <c r="F5" s="256">
        <f>SUM('DOE25'!J189:J192)+SUM('DOE25'!J207:J210)+SUM('DOE25'!J225:J228)</f>
        <v>39119.79</v>
      </c>
      <c r="G5" s="53">
        <f>SUM('DOE25'!K189:K192)+SUM('DOE25'!K207:K210)+SUM('DOE25'!K225:K228)</f>
        <v>5977</v>
      </c>
      <c r="H5" s="260"/>
    </row>
    <row r="6" spans="1:9" x14ac:dyDescent="0.2">
      <c r="A6" s="32">
        <v>2100</v>
      </c>
      <c r="B6" t="s">
        <v>835</v>
      </c>
      <c r="C6" s="246">
        <f t="shared" si="0"/>
        <v>1435203.3299999998</v>
      </c>
      <c r="D6" s="20">
        <f>'DOE25'!L194+'DOE25'!L212+'DOE25'!L230-F6-G6</f>
        <v>1432999.41</v>
      </c>
      <c r="E6" s="244"/>
      <c r="F6" s="256">
        <f>'DOE25'!J194+'DOE25'!J212+'DOE25'!J230</f>
        <v>1124.9199999999998</v>
      </c>
      <c r="G6" s="53">
        <f>'DOE25'!K194+'DOE25'!K212+'DOE25'!K230</f>
        <v>1079</v>
      </c>
      <c r="H6" s="260"/>
    </row>
    <row r="7" spans="1:9" x14ac:dyDescent="0.2">
      <c r="A7" s="32">
        <v>2200</v>
      </c>
      <c r="B7" t="s">
        <v>868</v>
      </c>
      <c r="C7" s="246">
        <f t="shared" si="0"/>
        <v>848969.45</v>
      </c>
      <c r="D7" s="20">
        <f>'DOE25'!L195+'DOE25'!L213+'DOE25'!L231-F7-G7</f>
        <v>729964.06999999983</v>
      </c>
      <c r="E7" s="244"/>
      <c r="F7" s="256">
        <f>'DOE25'!J195+'DOE25'!J213+'DOE25'!J231</f>
        <v>117117.82</v>
      </c>
      <c r="G7" s="53">
        <f>'DOE25'!K195+'DOE25'!K213+'DOE25'!K231</f>
        <v>1887.56</v>
      </c>
      <c r="H7" s="260"/>
    </row>
    <row r="8" spans="1:9" x14ac:dyDescent="0.2">
      <c r="A8" s="32">
        <v>2300</v>
      </c>
      <c r="B8" t="s">
        <v>836</v>
      </c>
      <c r="C8" s="246">
        <f t="shared" si="0"/>
        <v>81123.760000000038</v>
      </c>
      <c r="D8" s="244"/>
      <c r="E8" s="20">
        <f>'DOE25'!L196+'DOE25'!L214+'DOE25'!L232-F8-G8-D9-D11</f>
        <v>66286.880000000034</v>
      </c>
      <c r="F8" s="256">
        <f>'DOE25'!J196+'DOE25'!J214+'DOE25'!J232</f>
        <v>0</v>
      </c>
      <c r="G8" s="53">
        <f>'DOE25'!K196+'DOE25'!K214+'DOE25'!K232</f>
        <v>14836.880000000001</v>
      </c>
      <c r="H8" s="260"/>
    </row>
    <row r="9" spans="1:9" x14ac:dyDescent="0.2">
      <c r="A9" s="32">
        <v>2310</v>
      </c>
      <c r="B9" t="s">
        <v>852</v>
      </c>
      <c r="C9" s="246">
        <f t="shared" si="0"/>
        <v>63296.93</v>
      </c>
      <c r="D9" s="245">
        <v>63296.93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10445</v>
      </c>
      <c r="D10" s="244"/>
      <c r="E10" s="245">
        <v>10445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226470.35</v>
      </c>
      <c r="D11" s="245">
        <v>226470.35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1125345.4500000002</v>
      </c>
      <c r="D12" s="20">
        <f>'DOE25'!L197+'DOE25'!L215+'DOE25'!L233-F12-G12</f>
        <v>1116416.4500000002</v>
      </c>
      <c r="E12" s="244"/>
      <c r="F12" s="256">
        <f>'DOE25'!J197+'DOE25'!J215+'DOE25'!J233</f>
        <v>1016</v>
      </c>
      <c r="G12" s="53">
        <f>'DOE25'!K197+'DOE25'!K215+'DOE25'!K233</f>
        <v>7913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269035.61</v>
      </c>
      <c r="D13" s="244"/>
      <c r="E13" s="20">
        <f>'DOE25'!L198+'DOE25'!L216+'DOE25'!L234-F13-G13</f>
        <v>268400.61</v>
      </c>
      <c r="F13" s="256">
        <f>'DOE25'!J198+'DOE25'!J216+'DOE25'!J234</f>
        <v>0</v>
      </c>
      <c r="G13" s="53">
        <f>'DOE25'!K198+'DOE25'!K216+'DOE25'!K234</f>
        <v>635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1465285.44</v>
      </c>
      <c r="D14" s="20">
        <f>'DOE25'!L199+'DOE25'!L217+'DOE25'!L235-F14-G14</f>
        <v>1453417.15</v>
      </c>
      <c r="E14" s="244"/>
      <c r="F14" s="256">
        <f>'DOE25'!J199+'DOE25'!J217+'DOE25'!J235</f>
        <v>11868.29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871038.77999999991</v>
      </c>
      <c r="D15" s="20">
        <f>'DOE25'!L200+'DOE25'!L218+'DOE25'!L236-F15-G15</f>
        <v>871038.77999999991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13025.349999999999</v>
      </c>
      <c r="D19" s="20">
        <f>'DOE25'!L245-F19-G19</f>
        <v>11371.809999999998</v>
      </c>
      <c r="E19" s="244"/>
      <c r="F19" s="256">
        <f>'DOE25'!J245</f>
        <v>0</v>
      </c>
      <c r="G19" s="53">
        <f>'DOE25'!K245</f>
        <v>1653.54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121203.95</v>
      </c>
      <c r="D22" s="244"/>
      <c r="E22" s="244"/>
      <c r="F22" s="256">
        <f>'DOE25'!L247+'DOE25'!L328</f>
        <v>121203.95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583625</v>
      </c>
      <c r="D25" s="244"/>
      <c r="E25" s="244"/>
      <c r="F25" s="259"/>
      <c r="G25" s="257"/>
      <c r="H25" s="258">
        <f>'DOE25'!L252+'DOE25'!L253+'DOE25'!L333+'DOE25'!L334</f>
        <v>583625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372731.66000000009</v>
      </c>
      <c r="D29" s="20">
        <f>'DOE25'!L350+'DOE25'!L351+'DOE25'!L352-'DOE25'!I359-F29-G29</f>
        <v>371975.18000000011</v>
      </c>
      <c r="E29" s="244"/>
      <c r="F29" s="256">
        <f>'DOE25'!J350+'DOE25'!J351+'DOE25'!J352</f>
        <v>756.48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987197.67000000016</v>
      </c>
      <c r="D31" s="20">
        <f>'DOE25'!L282+'DOE25'!L301+'DOE25'!L320+'DOE25'!L325+'DOE25'!L326+'DOE25'!L327-F31-G31</f>
        <v>942346.70000000019</v>
      </c>
      <c r="E31" s="244"/>
      <c r="F31" s="256">
        <f>'DOE25'!J282+'DOE25'!J301+'DOE25'!J320+'DOE25'!J325+'DOE25'!J326+'DOE25'!J327</f>
        <v>44850.97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17267617.150000002</v>
      </c>
      <c r="E33" s="247">
        <f>SUM(E5:E31)</f>
        <v>345132.49</v>
      </c>
      <c r="F33" s="247">
        <f>SUM(F5:F31)</f>
        <v>337058.22</v>
      </c>
      <c r="G33" s="247">
        <f>SUM(G5:G31)</f>
        <v>33981.980000000003</v>
      </c>
      <c r="H33" s="247">
        <f>SUM(H5:H31)</f>
        <v>583625</v>
      </c>
    </row>
    <row r="35" spans="2:8" ht="12" thickBot="1" x14ac:dyDescent="0.25">
      <c r="B35" s="254" t="s">
        <v>881</v>
      </c>
      <c r="D35" s="255">
        <f>E33</f>
        <v>345132.49</v>
      </c>
      <c r="E35" s="250"/>
    </row>
    <row r="36" spans="2:8" ht="12" thickTop="1" x14ac:dyDescent="0.2">
      <c r="B36" t="s">
        <v>849</v>
      </c>
      <c r="D36" s="20">
        <f>D33</f>
        <v>17267617.150000002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4827-62F7-4078-8B0D-76B5E94D8652}">
  <sheetPr transitionEvaluation="1" codeName="Sheet2">
    <tabColor indexed="10"/>
  </sheetPr>
  <dimension ref="A1:I156"/>
  <sheetViews>
    <sheetView workbookViewId="0">
      <pane ySplit="2" topLeftCell="A3" activePane="bottomLeft" state="frozen"/>
      <selection pane="bottomLeft" activeCell="C133" sqref="C13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Shaker Regional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30995.4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1154.6099999999999</v>
      </c>
      <c r="D10" s="95">
        <f>'DOE25'!G10</f>
        <v>55600.93</v>
      </c>
      <c r="E10" s="95">
        <f>'DOE25'!H10</f>
        <v>0</v>
      </c>
      <c r="F10" s="95">
        <f>'DOE25'!I10</f>
        <v>0</v>
      </c>
      <c r="G10" s="95">
        <f>'DOE25'!J10</f>
        <v>630747.32000000007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538848.58999999985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295.41000000000003</v>
      </c>
      <c r="D13" s="95">
        <f>'DOE25'!G13</f>
        <v>14837.13</v>
      </c>
      <c r="E13" s="95">
        <f>'DOE25'!H13</f>
        <v>493604.01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29780.639999999999</v>
      </c>
      <c r="D14" s="95">
        <f>'DOE25'!G14</f>
        <v>1357.4</v>
      </c>
      <c r="E14" s="95">
        <f>'DOE25'!H14</f>
        <v>519.66999999999996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601074.64999999991</v>
      </c>
      <c r="D19" s="41">
        <f>SUM(D9:D18)</f>
        <v>71795.459999999992</v>
      </c>
      <c r="E19" s="41">
        <f>SUM(E9:E18)</f>
        <v>494123.68</v>
      </c>
      <c r="F19" s="41">
        <f>SUM(F9:F18)</f>
        <v>0</v>
      </c>
      <c r="G19" s="41">
        <f>SUM(G9:G18)</f>
        <v>630747.32000000007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65242</v>
      </c>
      <c r="E22" s="95">
        <f>'DOE25'!H23</f>
        <v>473606.59000000032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29666.89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51650.5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35666.43</v>
      </c>
      <c r="D24" s="95">
        <f>'DOE25'!G25</f>
        <v>365.41</v>
      </c>
      <c r="E24" s="95">
        <f>'DOE25'!H25</f>
        <v>1760.11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1046</v>
      </c>
      <c r="D30" s="95">
        <f>'DOE25'!G31</f>
        <v>6188.05</v>
      </c>
      <c r="E30" s="95">
        <f>'DOE25'!H31</f>
        <v>18756.98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66379.320000000007</v>
      </c>
      <c r="D32" s="41">
        <f>SUM(D22:D31)</f>
        <v>71795.460000000006</v>
      </c>
      <c r="E32" s="41">
        <f>SUM(E22:E31)</f>
        <v>494123.68000000028</v>
      </c>
      <c r="F32" s="41">
        <f>SUM(F22:F31)</f>
        <v>0</v>
      </c>
      <c r="G32" s="41">
        <f>SUM(G22:G31)</f>
        <v>51650.5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37022.550000000003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200000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579096.81999999995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297672.78000000003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534695.33000000007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579096.81999999995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601074.65000000014</v>
      </c>
      <c r="D43" s="41">
        <f>D42+D32</f>
        <v>71795.460000000006</v>
      </c>
      <c r="E43" s="41">
        <f>E42+E32</f>
        <v>494123.68000000028</v>
      </c>
      <c r="F43" s="41">
        <f>F42+F32</f>
        <v>0</v>
      </c>
      <c r="G43" s="41">
        <f>G42+G32</f>
        <v>630747.31999999995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9320462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900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2838.69</v>
      </c>
      <c r="D51" s="95">
        <f>'DOE25'!G88</f>
        <v>51.56</v>
      </c>
      <c r="E51" s="95">
        <f>'DOE25'!H88</f>
        <v>0</v>
      </c>
      <c r="F51" s="95">
        <f>'DOE25'!I88</f>
        <v>0</v>
      </c>
      <c r="G51" s="95">
        <f>'DOE25'!J88</f>
        <v>1568.69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323646.92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6581.98</v>
      </c>
      <c r="D53" s="95">
        <f>SUM('DOE25'!G90:G102)</f>
        <v>433.67</v>
      </c>
      <c r="E53" s="95">
        <f>SUM('DOE25'!H90:H102)</f>
        <v>32177.1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10320.67</v>
      </c>
      <c r="D54" s="130">
        <f>SUM(D49:D53)</f>
        <v>324132.14999999997</v>
      </c>
      <c r="E54" s="130">
        <f>SUM(E49:E53)</f>
        <v>32177.1</v>
      </c>
      <c r="F54" s="130">
        <f>SUM(F49:F53)</f>
        <v>0</v>
      </c>
      <c r="G54" s="130">
        <f>SUM(G49:G53)</f>
        <v>1568.69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9330782.6699999999</v>
      </c>
      <c r="D55" s="22">
        <f>D48+D54</f>
        <v>324132.14999999997</v>
      </c>
      <c r="E55" s="22">
        <f>E48+E54</f>
        <v>32177.1</v>
      </c>
      <c r="F55" s="22">
        <f>F48+F54</f>
        <v>0</v>
      </c>
      <c r="G55" s="22">
        <f>G48+G54</f>
        <v>1568.69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3278284.87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2330752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1257777.1299999999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6866814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265601.44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85301.64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9588.48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7216.89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360491.56</v>
      </c>
      <c r="D70" s="130">
        <f>SUM(D64:D69)</f>
        <v>7216.89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7227305.5599999996</v>
      </c>
      <c r="D73" s="130">
        <f>SUM(D71:D72)+D70+D62</f>
        <v>7216.89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102183.3</v>
      </c>
      <c r="D80" s="95">
        <f>SUM('DOE25'!G145:G153)</f>
        <v>225179.77</v>
      </c>
      <c r="E80" s="95">
        <f>SUM('DOE25'!H145:H153)</f>
        <v>955020.57000000007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102183.3</v>
      </c>
      <c r="D83" s="131">
        <f>SUM(D77:D82)</f>
        <v>225179.77</v>
      </c>
      <c r="E83" s="131">
        <f>SUM(E77:E82)</f>
        <v>955020.57000000007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16603.310000000001</v>
      </c>
      <c r="E88" s="95">
        <f>'DOE25'!H171</f>
        <v>0</v>
      </c>
      <c r="F88" s="95">
        <f>'DOE25'!I171</f>
        <v>0</v>
      </c>
      <c r="G88" s="95">
        <f>'DOE25'!J171</f>
        <v>100000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51650.5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16603.310000000001</v>
      </c>
      <c r="E95" s="86">
        <f>SUM(E85:E94)</f>
        <v>51650.5</v>
      </c>
      <c r="F95" s="86">
        <f>SUM(F85:F94)</f>
        <v>0</v>
      </c>
      <c r="G95" s="86">
        <f>SUM(G85:G94)</f>
        <v>100000</v>
      </c>
    </row>
    <row r="96" spans="1:7" ht="12.75" thickTop="1" thickBot="1" x14ac:dyDescent="0.25">
      <c r="A96" s="33" t="s">
        <v>797</v>
      </c>
      <c r="C96" s="86">
        <f>C55+C73+C83+C95</f>
        <v>16660271.530000001</v>
      </c>
      <c r="D96" s="86">
        <f>D55+D73+D83+D95</f>
        <v>573132.12</v>
      </c>
      <c r="E96" s="86">
        <f>E55+E73+E83+E95</f>
        <v>1038848.17</v>
      </c>
      <c r="F96" s="86">
        <f>F55+F73+F83+F95</f>
        <v>0</v>
      </c>
      <c r="G96" s="86">
        <f>G55+G73+G95</f>
        <v>101568.69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7929619.9800000004</v>
      </c>
      <c r="D101" s="24" t="s">
        <v>312</v>
      </c>
      <c r="E101" s="95">
        <f>('DOE25'!L268)+('DOE25'!L287)+('DOE25'!L306)</f>
        <v>66662.75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1781633.3499999999</v>
      </c>
      <c r="D102" s="24" t="s">
        <v>312</v>
      </c>
      <c r="E102" s="95">
        <f>('DOE25'!L269)+('DOE25'!L288)+('DOE25'!L307)</f>
        <v>579934.52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88017.600000000006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294146.18</v>
      </c>
      <c r="D104" s="24" t="s">
        <v>312</v>
      </c>
      <c r="E104" s="95">
        <f>+('DOE25'!L271)+('DOE25'!L290)+('DOE25'!L309)</f>
        <v>35594.339999999997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13025.349999999999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10106442.459999999</v>
      </c>
      <c r="D107" s="86">
        <f>SUM(D101:D106)</f>
        <v>0</v>
      </c>
      <c r="E107" s="86">
        <f>SUM(E101:E106)</f>
        <v>682191.61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1435203.3299999998</v>
      </c>
      <c r="D110" s="24" t="s">
        <v>312</v>
      </c>
      <c r="E110" s="95">
        <f>+('DOE25'!L273)+('DOE25'!L292)+('DOE25'!L311)</f>
        <v>232913.57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848969.45</v>
      </c>
      <c r="D111" s="24" t="s">
        <v>312</v>
      </c>
      <c r="E111" s="95">
        <f>+('DOE25'!L274)+('DOE25'!L293)+('DOE25'!L312)</f>
        <v>62727.970000000008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370891.04000000004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1125345.4500000002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269035.61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1465285.44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871038.77999999991</v>
      </c>
      <c r="D116" s="24" t="s">
        <v>312</v>
      </c>
      <c r="E116" s="95">
        <f>+('DOE25'!L279)+('DOE25'!L298)+('DOE25'!L317)</f>
        <v>9364.52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573132.12000000011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6385769.1000000006</v>
      </c>
      <c r="D120" s="86">
        <f>SUM(D110:D119)</f>
        <v>573132.12000000011</v>
      </c>
      <c r="E120" s="86">
        <f>SUM(E110:E119)</f>
        <v>305006.06000000006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69553.45</v>
      </c>
      <c r="D122" s="24" t="s">
        <v>312</v>
      </c>
      <c r="E122" s="129">
        <f>'DOE25'!L328</f>
        <v>51650.5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500000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83625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51650.5</v>
      </c>
    </row>
    <row r="127" spans="1:7" x14ac:dyDescent="0.2">
      <c r="A127" t="s">
        <v>256</v>
      </c>
      <c r="B127" s="32" t="s">
        <v>257</v>
      </c>
      <c r="C127" s="95">
        <f>'DOE25'!L255</f>
        <v>16603.310000000001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313.7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101254.98999999999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-1568.6899999999878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769781.76000000001</v>
      </c>
      <c r="D136" s="141">
        <f>SUM(D122:D135)</f>
        <v>0</v>
      </c>
      <c r="E136" s="141">
        <f>SUM(E122:E135)</f>
        <v>51650.5</v>
      </c>
      <c r="F136" s="141">
        <f>SUM(F122:F135)</f>
        <v>0</v>
      </c>
      <c r="G136" s="141">
        <f>SUM(G122:G135)</f>
        <v>51650.5</v>
      </c>
    </row>
    <row r="137" spans="1:9" ht="12.75" thickTop="1" thickBot="1" x14ac:dyDescent="0.25">
      <c r="A137" s="33" t="s">
        <v>267</v>
      </c>
      <c r="C137" s="86">
        <f>(C107+C120+C136)</f>
        <v>17261993.32</v>
      </c>
      <c r="D137" s="86">
        <f>(D107+D120+D136)</f>
        <v>573132.12000000011</v>
      </c>
      <c r="E137" s="86">
        <f>(E107+E120+E136)</f>
        <v>1038848.17</v>
      </c>
      <c r="F137" s="86">
        <f>(F107+F120+F136)</f>
        <v>0</v>
      </c>
      <c r="G137" s="86">
        <f>(G107+G120+G136)</f>
        <v>51650.5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8/97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7500000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4.75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2000000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2000000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500000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500000</v>
      </c>
    </row>
    <row r="151" spans="1:7" x14ac:dyDescent="0.2">
      <c r="A151" s="22" t="s">
        <v>35</v>
      </c>
      <c r="B151" s="137">
        <f>'DOE25'!F488</f>
        <v>1500000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1500000</v>
      </c>
    </row>
    <row r="152" spans="1:7" x14ac:dyDescent="0.2">
      <c r="A152" s="22" t="s">
        <v>36</v>
      </c>
      <c r="B152" s="137">
        <f>'DOE25'!F489</f>
        <v>107875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107875</v>
      </c>
    </row>
    <row r="153" spans="1:7" x14ac:dyDescent="0.2">
      <c r="A153" s="22" t="s">
        <v>37</v>
      </c>
      <c r="B153" s="137">
        <f>'DOE25'!F490</f>
        <v>1607875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1607875</v>
      </c>
    </row>
    <row r="154" spans="1:7" x14ac:dyDescent="0.2">
      <c r="A154" s="22" t="s">
        <v>38</v>
      </c>
      <c r="B154" s="137">
        <f>'DOE25'!F491</f>
        <v>500000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500000</v>
      </c>
    </row>
    <row r="155" spans="1:7" x14ac:dyDescent="0.2">
      <c r="A155" s="22" t="s">
        <v>39</v>
      </c>
      <c r="B155" s="137">
        <f>'DOE25'!F492</f>
        <v>59875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59875</v>
      </c>
    </row>
    <row r="156" spans="1:7" x14ac:dyDescent="0.2">
      <c r="A156" s="22" t="s">
        <v>269</v>
      </c>
      <c r="B156" s="137">
        <f>'DOE25'!F493</f>
        <v>559875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559875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E07A-BC77-4007-BAAF-37BCAAA1C2E8}">
  <sheetPr codeName="Sheet3">
    <tabColor indexed="43"/>
  </sheetPr>
  <dimension ref="A1:D42"/>
  <sheetViews>
    <sheetView workbookViewId="0">
      <selection activeCell="B47" sqref="B4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Shaker Regional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12103</v>
      </c>
    </row>
    <row r="5" spans="1:4" x14ac:dyDescent="0.2">
      <c r="B5" t="s">
        <v>735</v>
      </c>
      <c r="C5" s="179">
        <f>IF('DOE25'!G655+'DOE25'!G660=0,0,ROUND('DOE25'!G662,0))</f>
        <v>11786</v>
      </c>
    </row>
    <row r="6" spans="1:4" x14ac:dyDescent="0.2">
      <c r="B6" t="s">
        <v>62</v>
      </c>
      <c r="C6" s="179">
        <f>IF('DOE25'!H655+'DOE25'!H660=0,0,ROUND('DOE25'!H662,0))</f>
        <v>11028</v>
      </c>
    </row>
    <row r="7" spans="1:4" x14ac:dyDescent="0.2">
      <c r="B7" t="s">
        <v>736</v>
      </c>
      <c r="C7" s="179">
        <f>IF('DOE25'!I655+'DOE25'!I660=0,0,ROUND('DOE25'!I662,0))</f>
        <v>11644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7996283</v>
      </c>
      <c r="D10" s="182">
        <f>ROUND((C10/$C$28)*100,1)</f>
        <v>44.9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2361568</v>
      </c>
      <c r="D11" s="182">
        <f>ROUND((C11/$C$28)*100,1)</f>
        <v>13.3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88018</v>
      </c>
      <c r="D12" s="182">
        <f>ROUND((C12/$C$28)*100,1)</f>
        <v>0.5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329741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1668117</v>
      </c>
      <c r="D15" s="182">
        <f t="shared" ref="D15:D27" si="0">ROUND((C15/$C$28)*100,1)</f>
        <v>9.4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911697</v>
      </c>
      <c r="D16" s="182">
        <f t="shared" si="0"/>
        <v>5.0999999999999996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370891</v>
      </c>
      <c r="D17" s="182">
        <f t="shared" si="0"/>
        <v>2.1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1125345</v>
      </c>
      <c r="D18" s="182">
        <f t="shared" si="0"/>
        <v>6.3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269036</v>
      </c>
      <c r="D19" s="182">
        <f t="shared" si="0"/>
        <v>1.5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1465285</v>
      </c>
      <c r="D20" s="182">
        <f t="shared" si="0"/>
        <v>8.1999999999999993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880403</v>
      </c>
      <c r="D21" s="182">
        <f t="shared" si="0"/>
        <v>4.9000000000000004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13025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83625</v>
      </c>
      <c r="D25" s="182">
        <f t="shared" si="0"/>
        <v>0.5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249051.41000000003</v>
      </c>
      <c r="D27" s="182">
        <f t="shared" si="0"/>
        <v>1.4</v>
      </c>
    </row>
    <row r="28" spans="1:4" x14ac:dyDescent="0.2">
      <c r="B28" s="187" t="s">
        <v>754</v>
      </c>
      <c r="C28" s="180">
        <f>SUM(C10:C27)</f>
        <v>17812085.41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121204</v>
      </c>
    </row>
    <row r="30" spans="1:4" x14ac:dyDescent="0.2">
      <c r="B30" s="187" t="s">
        <v>760</v>
      </c>
      <c r="C30" s="180">
        <f>SUM(C28:C29)</f>
        <v>17933289.41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500000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9320462</v>
      </c>
      <c r="D35" s="182">
        <f t="shared" ref="D35:D40" si="1">ROUND((C35/$C$41)*100,1)</f>
        <v>52.1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44118.019999999553</v>
      </c>
      <c r="D36" s="182">
        <f t="shared" si="1"/>
        <v>0.2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5609037</v>
      </c>
      <c r="D37" s="182">
        <f t="shared" si="1"/>
        <v>31.4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1625486</v>
      </c>
      <c r="D38" s="182">
        <f t="shared" si="1"/>
        <v>9.1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1282384</v>
      </c>
      <c r="D39" s="182">
        <f t="shared" si="1"/>
        <v>7.2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17881487.02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D018-5B62-4B6F-B51F-90539AA7EE1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Shaker Regional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2010-08-31T15:45:40Z</cp:lastPrinted>
  <dcterms:created xsi:type="dcterms:W3CDTF">1997-12-04T19:04:30Z</dcterms:created>
  <dcterms:modified xsi:type="dcterms:W3CDTF">2025-01-09T20:24:23Z</dcterms:modified>
</cp:coreProperties>
</file>