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51E35CB2-FC87-441E-8AAA-9145798A9C68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AC3D7E86-E84D-4177-8EEE-6E00A695622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C11" i="10" s="1"/>
  <c r="L191" i="1"/>
  <c r="L192" i="1"/>
  <c r="L207" i="1"/>
  <c r="L208" i="1"/>
  <c r="L209" i="1"/>
  <c r="L210" i="1"/>
  <c r="L225" i="1"/>
  <c r="L226" i="1"/>
  <c r="L239" i="1" s="1"/>
  <c r="L227" i="1"/>
  <c r="C103" i="2" s="1"/>
  <c r="L228" i="1"/>
  <c r="F6" i="13"/>
  <c r="G6" i="13"/>
  <c r="G33" i="13" s="1"/>
  <c r="L194" i="1"/>
  <c r="C15" i="10" s="1"/>
  <c r="L212" i="1"/>
  <c r="L230" i="1"/>
  <c r="F7" i="13"/>
  <c r="G7" i="13"/>
  <c r="L195" i="1"/>
  <c r="D7" i="13" s="1"/>
  <c r="C7" i="13" s="1"/>
  <c r="L213" i="1"/>
  <c r="C111" i="2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C21" i="10" s="1"/>
  <c r="L218" i="1"/>
  <c r="L236" i="1"/>
  <c r="F17" i="13"/>
  <c r="G17" i="13"/>
  <c r="L243" i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L351" i="1"/>
  <c r="D29" i="13" s="1"/>
  <c r="C29" i="13" s="1"/>
  <c r="L352" i="1"/>
  <c r="I359" i="1"/>
  <c r="J282" i="1"/>
  <c r="F31" i="13" s="1"/>
  <c r="J301" i="1"/>
  <c r="J320" i="1"/>
  <c r="K282" i="1"/>
  <c r="K301" i="1"/>
  <c r="K320" i="1"/>
  <c r="G31" i="13"/>
  <c r="L268" i="1"/>
  <c r="C10" i="10" s="1"/>
  <c r="L269" i="1"/>
  <c r="L270" i="1"/>
  <c r="L271" i="1"/>
  <c r="E104" i="2" s="1"/>
  <c r="L273" i="1"/>
  <c r="L274" i="1"/>
  <c r="L275" i="1"/>
  <c r="L276" i="1"/>
  <c r="L277" i="1"/>
  <c r="L278" i="1"/>
  <c r="L279" i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E117" i="2" s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E116" i="2" s="1"/>
  <c r="E120" i="2" s="1"/>
  <c r="L318" i="1"/>
  <c r="L325" i="1"/>
  <c r="E106" i="2" s="1"/>
  <c r="L326" i="1"/>
  <c r="L327" i="1"/>
  <c r="L252" i="1"/>
  <c r="H25" i="13" s="1"/>
  <c r="L253" i="1"/>
  <c r="C124" i="2" s="1"/>
  <c r="L333" i="1"/>
  <c r="C32" i="10" s="1"/>
  <c r="L334" i="1"/>
  <c r="L247" i="1"/>
  <c r="C29" i="10" s="1"/>
  <c r="L328" i="1"/>
  <c r="F22" i="13"/>
  <c r="C22" i="13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A31" i="12" s="1"/>
  <c r="B31" i="12"/>
  <c r="C31" i="12"/>
  <c r="B9" i="12"/>
  <c r="A13" i="12" s="1"/>
  <c r="B13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F104" i="1" s="1"/>
  <c r="G52" i="1"/>
  <c r="D48" i="2" s="1"/>
  <c r="D55" i="2" s="1"/>
  <c r="D96" i="2" s="1"/>
  <c r="H52" i="1"/>
  <c r="I52" i="1"/>
  <c r="F71" i="1"/>
  <c r="F86" i="1"/>
  <c r="F103" i="1"/>
  <c r="G103" i="1"/>
  <c r="G104" i="1"/>
  <c r="H71" i="1"/>
  <c r="H104" i="1" s="1"/>
  <c r="H86" i="1"/>
  <c r="E50" i="2" s="1"/>
  <c r="H103" i="1"/>
  <c r="I103" i="1"/>
  <c r="I104" i="1"/>
  <c r="J103" i="1"/>
  <c r="C37" i="10"/>
  <c r="F113" i="1"/>
  <c r="F128" i="1"/>
  <c r="F132" i="1" s="1"/>
  <c r="G113" i="1"/>
  <c r="G132" i="1" s="1"/>
  <c r="G128" i="1"/>
  <c r="H113" i="1"/>
  <c r="H132" i="1" s="1"/>
  <c r="H128" i="1"/>
  <c r="I113" i="1"/>
  <c r="I132" i="1" s="1"/>
  <c r="I185" i="1" s="1"/>
  <c r="G620" i="1" s="1"/>
  <c r="J620" i="1" s="1"/>
  <c r="I128" i="1"/>
  <c r="J113" i="1"/>
  <c r="J128" i="1"/>
  <c r="J132" i="1" s="1"/>
  <c r="F139" i="1"/>
  <c r="F161" i="1" s="1"/>
  <c r="C39" i="10" s="1"/>
  <c r="F154" i="1"/>
  <c r="G139" i="1"/>
  <c r="G154" i="1"/>
  <c r="G161" i="1"/>
  <c r="H139" i="1"/>
  <c r="H161" i="1" s="1"/>
  <c r="H154" i="1"/>
  <c r="I139" i="1"/>
  <c r="I161" i="1" s="1"/>
  <c r="I154" i="1"/>
  <c r="L242" i="1"/>
  <c r="L324" i="1"/>
  <c r="C23" i="10" s="1"/>
  <c r="L246" i="1"/>
  <c r="L260" i="1"/>
  <c r="L261" i="1"/>
  <c r="L341" i="1"/>
  <c r="L342" i="1"/>
  <c r="E135" i="2" s="1"/>
  <c r="C26" i="10"/>
  <c r="I655" i="1"/>
  <c r="I660" i="1"/>
  <c r="G652" i="1"/>
  <c r="I659" i="1"/>
  <c r="C42" i="10"/>
  <c r="L366" i="1"/>
  <c r="L367" i="1"/>
  <c r="L368" i="1"/>
  <c r="L369" i="1"/>
  <c r="F122" i="2" s="1"/>
  <c r="F136" i="2" s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L512" i="1"/>
  <c r="F540" i="1"/>
  <c r="L513" i="1"/>
  <c r="F541" i="1" s="1"/>
  <c r="L516" i="1"/>
  <c r="G539" i="1" s="1"/>
  <c r="G542" i="1" s="1"/>
  <c r="L517" i="1"/>
  <c r="G540" i="1"/>
  <c r="L518" i="1"/>
  <c r="G541" i="1"/>
  <c r="L521" i="1"/>
  <c r="H539" i="1"/>
  <c r="L522" i="1"/>
  <c r="H540" i="1" s="1"/>
  <c r="L523" i="1"/>
  <c r="H541" i="1"/>
  <c r="L526" i="1"/>
  <c r="I539" i="1"/>
  <c r="L527" i="1"/>
  <c r="I540" i="1"/>
  <c r="L528" i="1"/>
  <c r="I541" i="1" s="1"/>
  <c r="L531" i="1"/>
  <c r="J539" i="1" s="1"/>
  <c r="J542" i="1" s="1"/>
  <c r="L532" i="1"/>
  <c r="J540" i="1"/>
  <c r="L533" i="1"/>
  <c r="J541" i="1"/>
  <c r="E124" i="2"/>
  <c r="K262" i="1"/>
  <c r="J262" i="1"/>
  <c r="I262" i="1"/>
  <c r="H262" i="1"/>
  <c r="G262" i="1"/>
  <c r="F262" i="1"/>
  <c r="L262" i="1" s="1"/>
  <c r="C123" i="2"/>
  <c r="A1" i="2"/>
  <c r="A2" i="2"/>
  <c r="C9" i="2"/>
  <c r="D9" i="2"/>
  <c r="D19" i="2" s="1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E19" i="2" s="1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F19" i="2" s="1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19" i="2"/>
  <c r="C22" i="2"/>
  <c r="D22" i="2"/>
  <c r="E22" i="2"/>
  <c r="F22" i="2"/>
  <c r="I440" i="1"/>
  <c r="I444" i="1" s="1"/>
  <c r="C23" i="2"/>
  <c r="C32" i="2" s="1"/>
  <c r="D23" i="2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E42" i="2" s="1"/>
  <c r="E43" i="2" s="1"/>
  <c r="F34" i="2"/>
  <c r="C35" i="2"/>
  <c r="D35" i="2"/>
  <c r="E35" i="2"/>
  <c r="F35" i="2"/>
  <c r="C36" i="2"/>
  <c r="C42" i="2" s="1"/>
  <c r="C43" i="2" s="1"/>
  <c r="D36" i="2"/>
  <c r="E36" i="2"/>
  <c r="F36" i="2"/>
  <c r="F42" i="2" s="1"/>
  <c r="I446" i="1"/>
  <c r="J37" i="1"/>
  <c r="G36" i="2"/>
  <c r="C37" i="2"/>
  <c r="D37" i="2"/>
  <c r="E37" i="2"/>
  <c r="F37" i="2"/>
  <c r="I447" i="1"/>
  <c r="J38" i="1" s="1"/>
  <c r="C38" i="2"/>
  <c r="D38" i="2"/>
  <c r="D42" i="2" s="1"/>
  <c r="D43" i="2" s="1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C55" i="2" s="1"/>
  <c r="E48" i="2"/>
  <c r="F48" i="2"/>
  <c r="C49" i="2"/>
  <c r="C54" i="2" s="1"/>
  <c r="E49" i="2"/>
  <c r="E54" i="2" s="1"/>
  <c r="E55" i="2" s="1"/>
  <c r="C50" i="2"/>
  <c r="C51" i="2"/>
  <c r="D51" i="2"/>
  <c r="D54" i="2" s="1"/>
  <c r="E51" i="2"/>
  <c r="F51" i="2"/>
  <c r="F54" i="2" s="1"/>
  <c r="F55" i="2" s="1"/>
  <c r="F96" i="2" s="1"/>
  <c r="D52" i="2"/>
  <c r="C53" i="2"/>
  <c r="D53" i="2"/>
  <c r="E53" i="2"/>
  <c r="F53" i="2"/>
  <c r="C58" i="2"/>
  <c r="C59" i="2"/>
  <c r="C62" i="2" s="1"/>
  <c r="C61" i="2"/>
  <c r="D61" i="2"/>
  <c r="E61" i="2"/>
  <c r="E62" i="2" s="1"/>
  <c r="F61" i="2"/>
  <c r="G61" i="2"/>
  <c r="D62" i="2"/>
  <c r="F62" i="2"/>
  <c r="G62" i="2"/>
  <c r="C64" i="2"/>
  <c r="F64" i="2"/>
  <c r="C65" i="2"/>
  <c r="F65" i="2"/>
  <c r="F70" i="2" s="1"/>
  <c r="F73" i="2" s="1"/>
  <c r="C66" i="2"/>
  <c r="C67" i="2"/>
  <c r="C68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 s="1"/>
  <c r="G73" i="2" s="1"/>
  <c r="C70" i="2"/>
  <c r="C71" i="2"/>
  <c r="D71" i="2"/>
  <c r="E71" i="2"/>
  <c r="C72" i="2"/>
  <c r="E72" i="2"/>
  <c r="C77" i="2"/>
  <c r="C83" i="2" s="1"/>
  <c r="D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F88" i="2"/>
  <c r="G88" i="2"/>
  <c r="G95" i="2" s="1"/>
  <c r="C89" i="2"/>
  <c r="D89" i="2"/>
  <c r="E89" i="2"/>
  <c r="E95" i="2" s="1"/>
  <c r="F89" i="2"/>
  <c r="G89" i="2"/>
  <c r="C90" i="2"/>
  <c r="C95" i="2" s="1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C101" i="2"/>
  <c r="E102" i="2"/>
  <c r="C104" i="2"/>
  <c r="C105" i="2"/>
  <c r="D107" i="2"/>
  <c r="F107" i="2"/>
  <c r="F137" i="2" s="1"/>
  <c r="G107" i="2"/>
  <c r="C110" i="2"/>
  <c r="E110" i="2"/>
  <c r="E111" i="2"/>
  <c r="C112" i="2"/>
  <c r="E112" i="2"/>
  <c r="C113" i="2"/>
  <c r="E113" i="2"/>
  <c r="E114" i="2"/>
  <c r="E115" i="2"/>
  <c r="C116" i="2"/>
  <c r="C117" i="2"/>
  <c r="F120" i="2"/>
  <c r="G120" i="2"/>
  <c r="G137" i="2" s="1"/>
  <c r="C122" i="2"/>
  <c r="E122" i="2"/>
  <c r="D126" i="2"/>
  <c r="E126" i="2"/>
  <c r="F126" i="2"/>
  <c r="K411" i="1"/>
  <c r="K419" i="1"/>
  <c r="K425" i="1"/>
  <c r="K426" i="1"/>
  <c r="G126" i="2" s="1"/>
  <c r="G136" i="2" s="1"/>
  <c r="L255" i="1"/>
  <c r="C127" i="2"/>
  <c r="L256" i="1"/>
  <c r="C128" i="2"/>
  <c r="L257" i="1"/>
  <c r="C129" i="2" s="1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D149" i="2"/>
  <c r="E149" i="2"/>
  <c r="F149" i="2"/>
  <c r="G149" i="2"/>
  <c r="B150" i="2"/>
  <c r="C150" i="2"/>
  <c r="D150" i="2"/>
  <c r="G150" i="2" s="1"/>
  <c r="E150" i="2"/>
  <c r="F150" i="2"/>
  <c r="B151" i="2"/>
  <c r="C151" i="2"/>
  <c r="D151" i="2"/>
  <c r="E151" i="2"/>
  <c r="F151" i="2"/>
  <c r="G151" i="2"/>
  <c r="B152" i="2"/>
  <c r="C152" i="2"/>
  <c r="D152" i="2"/>
  <c r="G152" i="2" s="1"/>
  <c r="E152" i="2"/>
  <c r="F152" i="2"/>
  <c r="F490" i="1"/>
  <c r="B153" i="2" s="1"/>
  <c r="G153" i="2" s="1"/>
  <c r="G490" i="1"/>
  <c r="C153" i="2" s="1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C156" i="2" s="1"/>
  <c r="H493" i="1"/>
  <c r="D156" i="2" s="1"/>
  <c r="I493" i="1"/>
  <c r="K493" i="1" s="1"/>
  <c r="J493" i="1"/>
  <c r="F156" i="2"/>
  <c r="F19" i="1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G615" i="1" s="1"/>
  <c r="J615" i="1" s="1"/>
  <c r="G44" i="1"/>
  <c r="F169" i="1"/>
  <c r="I169" i="1"/>
  <c r="F175" i="1"/>
  <c r="F184" i="1" s="1"/>
  <c r="G175" i="1"/>
  <c r="H175" i="1"/>
  <c r="I175" i="1"/>
  <c r="J175" i="1"/>
  <c r="J184" i="1" s="1"/>
  <c r="F180" i="1"/>
  <c r="G180" i="1"/>
  <c r="G184" i="1" s="1"/>
  <c r="H180" i="1"/>
  <c r="I180" i="1"/>
  <c r="H184" i="1"/>
  <c r="I184" i="1"/>
  <c r="F203" i="1"/>
  <c r="G203" i="1"/>
  <c r="H203" i="1"/>
  <c r="H249" i="1" s="1"/>
  <c r="H263" i="1" s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49" i="1"/>
  <c r="G249" i="1"/>
  <c r="G263" i="1" s="1"/>
  <c r="I249" i="1"/>
  <c r="I263" i="1" s="1"/>
  <c r="J249" i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J330" i="1" s="1"/>
  <c r="J344" i="1" s="1"/>
  <c r="K329" i="1"/>
  <c r="I330" i="1"/>
  <c r="I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J634" i="1" s="1"/>
  <c r="I393" i="1"/>
  <c r="F399" i="1"/>
  <c r="G399" i="1"/>
  <c r="G400" i="1" s="1"/>
  <c r="H635" i="1" s="1"/>
  <c r="H399" i="1"/>
  <c r="I399" i="1"/>
  <c r="F400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F426" i="1" s="1"/>
  <c r="G425" i="1"/>
  <c r="H425" i="1"/>
  <c r="I425" i="1"/>
  <c r="J425" i="1"/>
  <c r="I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H460" i="1"/>
  <c r="I460" i="1"/>
  <c r="J460" i="1"/>
  <c r="F464" i="1"/>
  <c r="G464" i="1"/>
  <c r="H464" i="1"/>
  <c r="H466" i="1" s="1"/>
  <c r="H614" i="1" s="1"/>
  <c r="J614" i="1" s="1"/>
  <c r="I464" i="1"/>
  <c r="I466" i="1" s="1"/>
  <c r="H615" i="1" s="1"/>
  <c r="J464" i="1"/>
  <c r="G466" i="1"/>
  <c r="J466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I535" i="1" s="1"/>
  <c r="J514" i="1"/>
  <c r="J535" i="1" s="1"/>
  <c r="K514" i="1"/>
  <c r="L514" i="1"/>
  <c r="F519" i="1"/>
  <c r="G519" i="1"/>
  <c r="H519" i="1"/>
  <c r="I519" i="1"/>
  <c r="J519" i="1"/>
  <c r="K519" i="1"/>
  <c r="L519" i="1"/>
  <c r="F524" i="1"/>
  <c r="G524" i="1"/>
  <c r="H524" i="1"/>
  <c r="H535" i="1" s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K535" i="1"/>
  <c r="L547" i="1"/>
  <c r="L548" i="1"/>
  <c r="L550" i="1" s="1"/>
  <c r="L561" i="1" s="1"/>
  <c r="L549" i="1"/>
  <c r="F550" i="1"/>
  <c r="F561" i="1" s="1"/>
  <c r="G550" i="1"/>
  <c r="H550" i="1"/>
  <c r="I550" i="1"/>
  <c r="J550" i="1"/>
  <c r="K550" i="1"/>
  <c r="K561" i="1" s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G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H608" i="1"/>
  <c r="G609" i="1"/>
  <c r="J609" i="1" s="1"/>
  <c r="G610" i="1"/>
  <c r="G613" i="1"/>
  <c r="J613" i="1" s="1"/>
  <c r="H613" i="1"/>
  <c r="G614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630" i="1"/>
  <c r="G631" i="1"/>
  <c r="G633" i="1"/>
  <c r="J633" i="1" s="1"/>
  <c r="H633" i="1"/>
  <c r="G634" i="1"/>
  <c r="G635" i="1"/>
  <c r="J635" i="1" s="1"/>
  <c r="H637" i="1"/>
  <c r="G639" i="1"/>
  <c r="J639" i="1" s="1"/>
  <c r="G640" i="1"/>
  <c r="G641" i="1"/>
  <c r="J641" i="1" s="1"/>
  <c r="H641" i="1"/>
  <c r="G642" i="1"/>
  <c r="H642" i="1"/>
  <c r="J642" i="1" s="1"/>
  <c r="G643" i="1"/>
  <c r="J643" i="1" s="1"/>
  <c r="H643" i="1"/>
  <c r="G644" i="1"/>
  <c r="J644" i="1" s="1"/>
  <c r="H644" i="1"/>
  <c r="G645" i="1"/>
  <c r="J645" i="1" s="1"/>
  <c r="H645" i="1"/>
  <c r="H542" i="1" l="1"/>
  <c r="F185" i="1"/>
  <c r="G617" i="1" s="1"/>
  <c r="J617" i="1" s="1"/>
  <c r="J640" i="1"/>
  <c r="J638" i="1"/>
  <c r="J43" i="1"/>
  <c r="G37" i="2"/>
  <c r="C120" i="2"/>
  <c r="H185" i="1"/>
  <c r="G619" i="1" s="1"/>
  <c r="J619" i="1" s="1"/>
  <c r="E96" i="2"/>
  <c r="C5" i="13"/>
  <c r="L426" i="1"/>
  <c r="G628" i="1" s="1"/>
  <c r="J628" i="1" s="1"/>
  <c r="C73" i="2"/>
  <c r="C96" i="2" s="1"/>
  <c r="L400" i="1"/>
  <c r="C130" i="2"/>
  <c r="C133" i="2" s="1"/>
  <c r="C136" i="2" s="1"/>
  <c r="H650" i="1"/>
  <c r="G42" i="2"/>
  <c r="G185" i="1"/>
  <c r="G618" i="1" s="1"/>
  <c r="J618" i="1" s="1"/>
  <c r="E33" i="13"/>
  <c r="D35" i="13" s="1"/>
  <c r="C8" i="13"/>
  <c r="I542" i="1"/>
  <c r="K541" i="1"/>
  <c r="C38" i="10"/>
  <c r="J631" i="1"/>
  <c r="J19" i="1"/>
  <c r="G611" i="1" s="1"/>
  <c r="G9" i="2"/>
  <c r="G19" i="2" s="1"/>
  <c r="K540" i="1"/>
  <c r="H33" i="13"/>
  <c r="C25" i="13"/>
  <c r="F43" i="2"/>
  <c r="H638" i="1"/>
  <c r="I451" i="1"/>
  <c r="H632" i="1" s="1"/>
  <c r="K539" i="1"/>
  <c r="K542" i="1" s="1"/>
  <c r="G55" i="2"/>
  <c r="G96" i="2" s="1"/>
  <c r="L529" i="1"/>
  <c r="L535" i="1" s="1"/>
  <c r="I450" i="1"/>
  <c r="C102" i="2"/>
  <c r="L221" i="1"/>
  <c r="G650" i="1" s="1"/>
  <c r="G654" i="1" s="1"/>
  <c r="C19" i="10"/>
  <c r="J104" i="1"/>
  <c r="J185" i="1" s="1"/>
  <c r="E156" i="2"/>
  <c r="G156" i="2" s="1"/>
  <c r="C114" i="2"/>
  <c r="E101" i="2"/>
  <c r="J23" i="1"/>
  <c r="H652" i="1"/>
  <c r="C18" i="10"/>
  <c r="C115" i="2"/>
  <c r="L203" i="1"/>
  <c r="C17" i="10"/>
  <c r="C35" i="10"/>
  <c r="G612" i="1"/>
  <c r="J612" i="1" s="1"/>
  <c r="J263" i="1"/>
  <c r="I44" i="1"/>
  <c r="H610" i="1" s="1"/>
  <c r="J610" i="1" s="1"/>
  <c r="E77" i="2"/>
  <c r="E83" i="2" s="1"/>
  <c r="F542" i="1"/>
  <c r="L343" i="1"/>
  <c r="F652" i="1"/>
  <c r="I652" i="1" s="1"/>
  <c r="C16" i="10"/>
  <c r="D15" i="13"/>
  <c r="C15" i="13" s="1"/>
  <c r="D6" i="13"/>
  <c r="C6" i="13" s="1"/>
  <c r="J607" i="1"/>
  <c r="C106" i="2"/>
  <c r="C25" i="10"/>
  <c r="F33" i="13"/>
  <c r="D119" i="2"/>
  <c r="D120" i="2" s="1"/>
  <c r="D137" i="2" s="1"/>
  <c r="E105" i="2"/>
  <c r="E123" i="2"/>
  <c r="E136" i="2" s="1"/>
  <c r="H651" i="1"/>
  <c r="C24" i="10"/>
  <c r="C13" i="10"/>
  <c r="L282" i="1"/>
  <c r="G651" i="1"/>
  <c r="C12" i="10"/>
  <c r="L604" i="1"/>
  <c r="F263" i="1"/>
  <c r="F651" i="1"/>
  <c r="L354" i="1"/>
  <c r="I438" i="1"/>
  <c r="G632" i="1" s="1"/>
  <c r="L374" i="1"/>
  <c r="G626" i="1" s="1"/>
  <c r="J626" i="1" s="1"/>
  <c r="E103" i="2"/>
  <c r="G22" i="2" l="1"/>
  <c r="G32" i="2" s="1"/>
  <c r="J33" i="1"/>
  <c r="E107" i="2"/>
  <c r="E137" i="2" s="1"/>
  <c r="J632" i="1"/>
  <c r="C27" i="10"/>
  <c r="G625" i="1"/>
  <c r="J625" i="1" s="1"/>
  <c r="G627" i="1"/>
  <c r="J627" i="1" s="1"/>
  <c r="H636" i="1"/>
  <c r="I651" i="1"/>
  <c r="G636" i="1"/>
  <c r="J636" i="1" s="1"/>
  <c r="G621" i="1"/>
  <c r="J621" i="1" s="1"/>
  <c r="G616" i="1"/>
  <c r="J616" i="1" s="1"/>
  <c r="J44" i="1"/>
  <c r="H611" i="1" s="1"/>
  <c r="J611" i="1" s="1"/>
  <c r="C36" i="10"/>
  <c r="G662" i="1"/>
  <c r="C5" i="10" s="1"/>
  <c r="G657" i="1"/>
  <c r="C107" i="2"/>
  <c r="C137" i="2" s="1"/>
  <c r="L249" i="1"/>
  <c r="L263" i="1" s="1"/>
  <c r="G622" i="1" s="1"/>
  <c r="J622" i="1" s="1"/>
  <c r="F650" i="1"/>
  <c r="G43" i="2"/>
  <c r="D31" i="13"/>
  <c r="C31" i="13" s="1"/>
  <c r="L330" i="1"/>
  <c r="L344" i="1" s="1"/>
  <c r="G623" i="1" s="1"/>
  <c r="J623" i="1" s="1"/>
  <c r="H654" i="1"/>
  <c r="H662" i="1" l="1"/>
  <c r="C6" i="10" s="1"/>
  <c r="H657" i="1"/>
  <c r="C41" i="10"/>
  <c r="C28" i="10"/>
  <c r="I650" i="1"/>
  <c r="I654" i="1" s="1"/>
  <c r="F654" i="1"/>
  <c r="D33" i="13"/>
  <c r="D36" i="13" s="1"/>
  <c r="H646" i="1"/>
  <c r="C30" i="10" l="1"/>
  <c r="D22" i="10"/>
  <c r="D20" i="10"/>
  <c r="D23" i="10"/>
  <c r="D10" i="10"/>
  <c r="D15" i="10"/>
  <c r="D26" i="10"/>
  <c r="D21" i="10"/>
  <c r="D11" i="10"/>
  <c r="D24" i="10"/>
  <c r="D12" i="10"/>
  <c r="D25" i="10"/>
  <c r="D19" i="10"/>
  <c r="D17" i="10"/>
  <c r="D13" i="10"/>
  <c r="D16" i="10"/>
  <c r="D18" i="10"/>
  <c r="F662" i="1"/>
  <c r="C4" i="10" s="1"/>
  <c r="F657" i="1"/>
  <c r="I662" i="1"/>
  <c r="C7" i="10" s="1"/>
  <c r="I657" i="1"/>
  <c r="D37" i="10"/>
  <c r="D39" i="10"/>
  <c r="D40" i="10"/>
  <c r="D35" i="10"/>
  <c r="D38" i="10"/>
  <c r="D36" i="10"/>
  <c r="D27" i="10"/>
  <c r="D28" i="10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06CF6AE-E50C-4F4E-9920-337F6B0F9D2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AD70DA1-BE64-4498-AC93-11DBA7B5A37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A53D702-58D2-4A2C-8035-7B96820E2A7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D6ACB16-CB83-4928-9B24-FF5C25092CF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AE6641D-C1CF-4D26-9747-4D142B7F6C6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66C756E-2D63-4DF9-9E16-DB8A49A8616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C74C005-732C-48AE-B3AB-450701205FD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9ECBAEB-6F85-4F2B-94D0-5291867EDEC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731E91A-A9C9-4BE3-8C26-9D70A57348E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3F3AF63-9984-48EE-8D02-B1C02E14E41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B2DF811-D4FB-431E-8BB2-14F6345C168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BCE4A2E-EF4D-4570-95FC-41FCA7410AD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<sst xmlns="http://schemas.openxmlformats.org/spreadsheetml/2006/main" count="3858" uniqueCount="895">
  <si>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</si>
  <si>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</si>
  <si>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</si>
  <si>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</si>
  <si>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</si>
  <si>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</si>
  <si>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</si>
  <si>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</si>
  <si>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</si>
  <si>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</si>
  <si>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</si>
  <si>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</si>
  <si>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</si>
  <si>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</si>
  <si>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</si>
  <si>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</si>
  <si>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</si>
  <si>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</si>
  <si>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</si>
  <si>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</si>
  <si>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</si>
  <si>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</si>
  <si>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</si>
  <si>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</si>
  <si>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</si>
  <si>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</si>
  <si>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</si>
  <si>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</si>
  <si>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</si>
  <si>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</si>
  <si>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</si>
  <si>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</si>
  <si>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</si>
  <si>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</si>
  <si>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</si>
  <si>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</si>
  <si>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</si>
  <si>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</si>
  <si>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</si>
  <si>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</si>
  <si>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</si>
  <si>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</si>
  <si>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</si>
  <si>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</si>
  <si>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</si>
  <si>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</si>
  <si>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</si>
  <si>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</si>
  <si>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</si>
  <si>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</si>
  <si>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</si>
  <si>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</si>
  <si>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</si>
  <si>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</si>
  <si>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</si>
  <si>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</si>
  <si>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</si>
  <si>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</si>
  <si>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</si>
  <si>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</si>
  <si>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</si>
  <si>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</si>
  <si>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</si>
  <si>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</si>
  <si>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</si>
  <si>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</si>
  <si>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</si>
  <si>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</si>
  <si>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</si>
  <si>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</si>
  <si>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</si>
  <si>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</si>
  <si>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</si>
  <si>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</si>
  <si>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</si>
  <si>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</si>
  <si>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</si>
  <si>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</si>
  <si>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</si>
  <si>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</si>
  <si>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</si>
  <si>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</si>
  <si>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</si>
  <si>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</si>
  <si>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</si>
  <si>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</si>
  <si>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</si>
  <si>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</si>
  <si>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</si>
  <si>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</si>
  <si>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</si>
  <si>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</si>
  <si>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</si>
  <si>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</si>
  <si>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</si>
  <si>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</si>
  <si>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</si>
  <si>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</si>
  <si>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</si>
  <si>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</si>
  <si>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</si>
  <si>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</si>
  <si>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</si>
  <si>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</si>
  <si>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</si>
  <si>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</si>
  <si>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</si>
  <si>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</si>
  <si>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</si>
  <si>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</si>
  <si>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</si>
  <si>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</si>
  <si>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</si>
  <si>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</si>
  <si>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</si>
  <si>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</si>
  <si>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</si>
  <si>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</si>
  <si>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</si>
  <si>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</si>
  <si>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</si>
  <si>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</si>
  <si>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</si>
  <si>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</si>
  <si>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</si>
  <si>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</si>
  <si>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</si>
  <si>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</si>
  <si>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</si>
  <si>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</si>
  <si>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</si>
  <si>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</si>
  <si>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</si>
  <si>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</si>
  <si>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</si>
  <si>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</si>
  <si>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</si>
  <si>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</si>
  <si>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</si>
  <si>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</si>
  <si>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</si>
  <si>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</si>
  <si>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</si>
  <si>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</si>
  <si>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</si>
  <si>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</si>
  <si>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</si>
  <si>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</si>
  <si>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</si>
  <si>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</si>
  <si>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</si>
  <si>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</si>
  <si>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</si>
  <si>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</si>
  <si>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</si>
  <si>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</si>
  <si>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</si>
  <si>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</si>
  <si>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</si>
  <si>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</si>
  <si>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</si>
  <si>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</si>
  <si>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</si>
  <si>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</si>
  <si>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</si>
  <si>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</si>
  <si>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</si>
  <si>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</si>
  <si>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</si>
  <si>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</si>
  <si>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</si>
  <si>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</si>
  <si>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</si>
  <si>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</si>
  <si>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</si>
  <si>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</si>
  <si>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</si>
  <si>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</si>
  <si>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</si>
  <si>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</si>
  <si>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</si>
  <si>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</si>
  <si>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</si>
  <si>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</si>
  <si>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</si>
  <si>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</si>
  <si>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</si>
  <si>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</si>
  <si>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</si>
  <si>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</si>
  <si>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</si>
  <si>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</si>
  <si>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</si>
  <si>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</si>
  <si>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</si>
  <si>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</si>
  <si>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</si>
  <si>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</si>
  <si>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</si>
  <si>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</si>
  <si>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</si>
  <si>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</si>
  <si>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</si>
  <si>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</si>
  <si>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</si>
  <si>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</si>
  <si>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</si>
  <si>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</si>
  <si>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</si>
  <si>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</si>
  <si>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</si>
  <si>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</si>
  <si>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</si>
  <si>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</si>
  <si>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</si>
  <si>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</si>
  <si>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</si>
  <si>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</si>
  <si>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</si>
  <si>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</si>
  <si>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</si>
  <si>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</si>
  <si>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</si>
  <si>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</si>
  <si>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</si>
  <si>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</si>
  <si>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</si>
  <si>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</si>
  <si>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</si>
  <si>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</si>
  <si>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</si>
  <si>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</si>
  <si>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</si>
  <si>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</si>
  <si>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</si>
  <si>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</si>
  <si>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</si>
  <si>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</si>
  <si>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</si>
  <si>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</si>
  <si>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</si>
  <si>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</si>
  <si>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</si>
  <si>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</si>
  <si>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</si>
  <si>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</si>
  <si>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</si>
  <si>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</si>
  <si>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</si>
  <si>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</si>
  <si>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</si>
  <si>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</si>
  <si>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</si>
  <si>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</si>
  <si>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</si>
  <si>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</si>
  <si>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</si>
  <si>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</si>
  <si>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</si>
  <si>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</si>
  <si>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</si>
  <si>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</si>
  <si>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</si>
  <si>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</si>
  <si>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</si>
  <si>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</si>
  <si>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</si>
  <si>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</si>
  <si>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</si>
  <si>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</si>
  <si>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</si>
  <si>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</si>
  <si>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</si>
  <si>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</si>
  <si>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</si>
  <si>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</si>
  <si>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</si>
  <si>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</si>
  <si>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</si>
  <si>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</si>
  <si>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</si>
  <si>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</si>
  <si>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</si>
  <si>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</si>
  <si>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</si>
  <si>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</si>
  <si>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</si>
  <si>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</si>
  <si>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</si>
  <si>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</si>
  <si>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</si>
  <si>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</si>
  <si>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</si>
  <si>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</si>
  <si>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</si>
  <si>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</si>
  <si>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</si>
  <si>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</si>
  <si>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</si>
  <si>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</si>
  <si>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</si>
  <si>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</si>
  <si>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</si>
  <si>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</si>
  <si>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</si>
  <si>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</si>
  <si>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</si>
  <si>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</si>
  <si>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</si>
  <si>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</si>
  <si>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</si>
  <si>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</si>
  <si>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</si>
  <si>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</si>
  <si>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</si>
  <si>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</si>
  <si>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</si>
  <si>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</si>
  <si>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</si>
  <si>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</si>
  <si>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</si>
  <si>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</si>
  <si>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</si>
  <si>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</si>
  <si>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</si>
  <si>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</si>
  <si>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</si>
  <si>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</si>
  <si>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</si>
  <si>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</si>
  <si>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</si>
  <si>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</si>
  <si>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</si>
  <si>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</si>
  <si>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</si>
  <si>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</si>
  <si>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</si>
  <si>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</si>
  <si>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</si>
  <si>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</si>
  <si>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</si>
  <si>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</si>
  <si>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</si>
  <si>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</si>
  <si>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</si>
  <si>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</si>
  <si>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</si>
  <si>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</si>
  <si>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</si>
  <si>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</si>
  <si>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</si>
  <si>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</si>
  <si>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</si>
  <si>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</si>
  <si>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</si>
  <si>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</si>
  <si>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</si>
  <si>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</si>
  <si>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</si>
  <si>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</si>
  <si>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</si>
  <si>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</si>
  <si>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</si>
  <si>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</si>
  <si>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</si>
  <si>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</si>
  <si>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</si>
  <si>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</si>
  <si>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</si>
  <si>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</si>
  <si>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</si>
  <si>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</si>
  <si>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</si>
  <si>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</si>
  <si>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</si>
  <si>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</si>
  <si>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</si>
  <si>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</si>
  <si>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</si>
  <si>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</si>
  <si>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</si>
  <si>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</si>
  <si>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</si>
  <si>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</si>
  <si>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</si>
  <si>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</si>
  <si>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</si>
  <si>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</si>
  <si>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</si>
  <si>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</si>
  <si>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</si>
  <si>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</si>
  <si>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</si>
  <si>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</si>
  <si>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</si>
  <si>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</si>
  <si>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</si>
  <si>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</si>
  <si>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</si>
  <si>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</si>
  <si>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</si>
  <si>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</si>
  <si>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</si>
  <si>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</si>
  <si>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</si>
  <si>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</si>
  <si>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</si>
  <si>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</si>
  <si>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</si>
  <si>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</si>
  <si>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</si>
  <si>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</si>
  <si>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</si>
  <si>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</si>
  <si>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</si>
  <si>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</si>
  <si>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</si>
  <si>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</si>
  <si>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</si>
  <si>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</si>
  <si>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</si>
  <si>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</si>
  <si>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</si>
  <si>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</si>
  <si>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</si>
  <si>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</si>
  <si>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</si>
  <si>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</si>
  <si>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</si>
  <si>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</si>
  <si>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</si>
  <si>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</si>
  <si>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</si>
  <si>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</si>
  <si>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</si>
  <si>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</si>
  <si>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</si>
  <si>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</si>
  <si>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</si>
  <si>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</si>
  <si>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</si>
  <si>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</si>
  <si>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</si>
  <si>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</si>
  <si>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</si>
  <si>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</si>
  <si>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</si>
  <si>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</si>
  <si>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</si>
  <si>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</si>
  <si>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</si>
  <si>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</si>
  <si>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</si>
  <si>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</si>
  <si>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</si>
  <si>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</si>
  <si>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</si>
  <si>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</si>
  <si>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</si>
  <si>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</si>
  <si>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</si>
  <si>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</si>
  <si>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</si>
  <si>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</si>
  <si>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</si>
  <si>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</si>
  <si>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</si>
  <si>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</si>
  <si>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</si>
  <si>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</si>
  <si>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</si>
  <si>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</si>
  <si>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</si>
  <si>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</si>
  <si>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</si>
  <si>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</si>
  <si>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</si>
  <si>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</si>
  <si>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</si>
  <si>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</si>
  <si>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</si>
  <si>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</si>
  <si>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</si>
  <si>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</si>
  <si>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</si>
  <si>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</si>
  <si>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</si>
  <si>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</si>
  <si>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</si>
  <si>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</si>
  <si>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</si>
  <si>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</si>
  <si>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</si>
  <si>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</si>
  <si>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</si>
  <si>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</si>
  <si>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</si>
  <si>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</si>
  <si>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</si>
  <si>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</si>
  <si>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</si>
  <si>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</si>
  <si>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</si>
  <si>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</si>
  <si>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</si>
  <si>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</si>
  <si>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</si>
  <si>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</si>
  <si>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</si>
  <si>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</si>
  <si>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</si>
  <si>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</si>
  <si>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</si>
  <si>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</si>
  <si>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</si>
  <si>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</si>
  <si>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</si>
  <si>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</si>
  <si>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</si>
  <si>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</si>
  <si>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</si>
  <si>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</si>
  <si>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</si>
  <si>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</si>
  <si>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</si>
  <si>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</si>
  <si>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</si>
  <si>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</si>
  <si>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</si>
  <si>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</si>
  <si>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</si>
  <si>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</si>
  <si>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</si>
  <si>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</si>
  <si>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</si>
  <si>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</si>
  <si>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</si>
  <si>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</si>
  <si>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</si>
  <si>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</si>
  <si>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</si>
  <si>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</si>
  <si>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</si>
  <si>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</si>
  <si>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</si>
  <si>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</si>
  <si>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</si>
  <si>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</si>
  <si>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</si>
  <si>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</si>
  <si>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</si>
  <si>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</si>
  <si>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</si>
  <si>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</si>
  <si>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</si>
  <si>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</si>
  <si>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</si>
  <si>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</si>
  <si>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</si>
  <si>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</si>
  <si>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</si>
  <si>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</si>
  <si>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</si>
  <si>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</si>
  <si>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</si>
  <si>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</si>
  <si>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</si>
  <si>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</si>
  <si>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</si>
  <si>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</si>
  <si>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</si>
  <si>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</si>
  <si>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</si>
  <si>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</si>
  <si>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</si>
  <si>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</si>
  <si>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</si>
  <si>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</si>
  <si>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</si>
  <si>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</si>
  <si>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</si>
  <si>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</si>
  <si>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</si>
  <si>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</si>
  <si>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</si>
  <si>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</si>
  <si>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</si>
  <si>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</si>
  <si>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</si>
  <si>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</si>
  <si>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</si>
  <si>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</si>
  <si>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</si>
  <si>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</si>
  <si>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</si>
  <si>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</si>
  <si>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</si>
  <si>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</si>
  <si>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</si>
  <si>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</si>
  <si>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</si>
  <si>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</si>
  <si>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</si>
  <si>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</si>
  <si>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</si>
  <si>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</si>
  <si>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</si>
  <si>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</si>
  <si>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</si>
  <si>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</si>
  <si>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</si>
  <si>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</si>
  <si>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</si>
  <si>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</si>
  <si>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</si>
  <si>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</si>
  <si>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</si>
  <si>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</si>
  <si>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</si>
  <si>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</si>
  <si>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</si>
  <si>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</si>
  <si>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</si>
  <si>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</si>
  <si>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</si>
  <si>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</si>
  <si>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</si>
  <si>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</si>
  <si>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</si>
  <si>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</si>
  <si>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</si>
  <si>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</si>
  <si>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</si>
  <si>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</si>
  <si>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</si>
  <si>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</si>
  <si>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</si>
  <si>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</si>
  <si>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</si>
  <si>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</si>
  <si>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</si>
  <si>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</si>
  <si>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</si>
  <si>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</si>
  <si>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</si>
  <si>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</si>
  <si>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</si>
  <si>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</si>
  <si>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</si>
  <si>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</si>
  <si>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</si>
  <si>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</si>
  <si>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</si>
  <si>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</si>
  <si>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</si>
  <si>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</si>
  <si>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</si>
  <si>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</si>
  <si>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</si>
  <si>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</si>
  <si>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</si>
  <si>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</si>
  <si>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</si>
  <si>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</si>
  <si>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</si>
  <si>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</si>
  <si>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</si>
  <si>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</si>
  <si>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</si>
  <si>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</si>
  <si>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</si>
  <si>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</si>
  <si>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</si>
  <si>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</si>
  <si>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</si>
  <si>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</si>
  <si>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</si>
  <si>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</si>
  <si>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</si>
  <si>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</si>
  <si>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</si>
  <si>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</si>
  <si>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</si>
  <si>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</si>
  <si>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</si>
  <si>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</si>
  <si>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</si>
  <si>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</si>
  <si>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</si>
  <si>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</si>
  <si>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</si>
  <si>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</si>
  <si>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</si>
  <si>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</si>
  <si>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</si>
  <si>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</si>
  <si>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</si>
  <si>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</si>
  <si>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</si>
  <si>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</si>
  <si>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</si>
  <si>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</si>
  <si>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</si>
  <si>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</si>
  <si>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</si>
  <si>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</si>
  <si>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</si>
  <si>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</si>
  <si>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</si>
  <si>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</si>
  <si>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</si>
  <si>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</si>
  <si>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</si>
  <si>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</si>
  <si>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</si>
  <si>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</si>
  <si>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</si>
  <si>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</si>
  <si>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</si>
  <si>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</si>
  <si>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</si>
  <si>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</si>
  <si>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</si>
  <si>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</si>
  <si>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</si>
  <si>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</si>
  <si>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</si>
  <si>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</si>
  <si>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</si>
  <si>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</si>
  <si>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</si>
  <si>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</si>
  <si>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</si>
  <si>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</si>
  <si>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</si>
  <si>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</si>
  <si>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</si>
  <si>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</si>
  <si>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</si>
  <si>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</si>
  <si>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</si>
  <si>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</si>
  <si>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</si>
  <si>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</si>
  <si>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</si>
  <si>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</si>
  <si>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</si>
  <si>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</si>
  <si>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</si>
  <si>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</si>
  <si>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</si>
  <si>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</si>
  <si>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</si>
  <si>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</si>
  <si>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</si>
  <si>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</si>
  <si>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</si>
  <si>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</si>
  <si>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</si>
  <si>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</si>
  <si>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</si>
  <si>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</si>
  <si>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</si>
  <si>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</si>
  <si>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</si>
  <si>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</si>
  <si>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</si>
  <si>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</si>
  <si>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</si>
  <si>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</si>
  <si>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</si>
  <si>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</si>
  <si>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</si>
  <si>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</si>
  <si>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</si>
  <si>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</si>
  <si>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</si>
  <si>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</si>
  <si>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</si>
  <si>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</si>
  <si>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</si>
  <si>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</si>
  <si>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</si>
  <si>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</si>
  <si>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</si>
  <si>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</si>
  <si>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</si>
  <si>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</si>
  <si>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</si>
  <si>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</si>
  <si>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</si>
  <si>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</si>
  <si>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</si>
  <si>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</si>
  <si>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</si>
  <si>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</si>
  <si>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</si>
  <si>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</si>
  <si>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</si>
  <si>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</si>
  <si>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</si>
  <si>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</si>
  <si>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</si>
  <si>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</si>
  <si>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</si>
  <si>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</si>
  <si>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</si>
  <si>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</si>
  <si>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</si>
  <si>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</si>
  <si>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</si>
  <si>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</si>
  <si>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</si>
  <si>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</si>
  <si>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</si>
  <si>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</si>
  <si>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</si>
  <si>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</si>
  <si>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</si>
  <si>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</si>
  <si>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</si>
  <si>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</si>
  <si>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</si>
  <si>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</si>
  <si>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</si>
  <si>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</si>
  <si>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</si>
  <si>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</si>
  <si>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</si>
  <si>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</si>
  <si>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</si>
  <si>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</si>
  <si>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</si>
  <si>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</si>
  <si>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</si>
  <si>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</si>
  <si>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</si>
  <si>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</si>
  <si>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</si>
  <si>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</si>
  <si>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</si>
  <si>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</si>
  <si>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</si>
  <si>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</si>
  <si>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</si>
  <si>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</si>
  <si>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</si>
  <si>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</si>
  <si>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</si>
  <si>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</si>
  <si>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</si>
  <si>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</si>
  <si>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</si>
  <si>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</si>
  <si>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</si>
  <si>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</si>
  <si>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</si>
  <si>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</si>
  <si>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</si>
  <si>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</si>
  <si>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</si>
  <si>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</si>
  <si>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</si>
  <si>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</si>
  <si>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</si>
  <si>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</si>
  <si>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</si>
  <si>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</si>
  <si>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</si>
  <si>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</si>
  <si>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</si>
  <si>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</si>
  <si>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</si>
  <si>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</si>
  <si>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</si>
  <si>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</si>
  <si>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</si>
  <si>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</si>
  <si>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</si>
  <si>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</si>
  <si>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</si>
  <si>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</si>
  <si>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</si>
  <si>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</si>
  <si>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</si>
  <si>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</si>
  <si>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</si>
  <si>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</si>
  <si>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</si>
  <si>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</si>
  <si>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</si>
  <si>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</si>
  <si>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</si>
  <si>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</si>
  <si>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Somersworth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</si>
</sst>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54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color indexed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4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6" borderId="0" applyNumberFormat="0" applyBorder="0" applyAlignment="0" applyProtection="0"/>
    <xf numFmtId="0" fontId="37" fillId="4" borderId="0" applyNumberFormat="0" applyBorder="0" applyAlignment="0" applyProtection="0"/>
    <xf numFmtId="0" fontId="38" fillId="6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8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1" applyNumberFormat="0" applyAlignment="0" applyProtection="0"/>
    <xf numFmtId="0" fontId="41" fillId="17" borderId="2" applyNumberFormat="0" applyAlignment="0" applyProtection="0"/>
    <xf numFmtId="0" fontId="42" fillId="0" borderId="0" applyNumberFormat="0" applyFill="0" applyBorder="0" applyAlignment="0" applyProtection="0"/>
    <xf numFmtId="0" fontId="43" fillId="6" borderId="0" applyNumberFormat="0" applyBorder="0" applyAlignment="0" applyProtection="0"/>
    <xf numFmtId="0" fontId="44" fillId="0" borderId="3" applyNumberFormat="0" applyFill="0" applyAlignment="0" applyProtection="0"/>
    <xf numFmtId="0" fontId="45" fillId="0" borderId="4" applyNumberFormat="0" applyFill="0" applyAlignment="0" applyProtection="0"/>
    <xf numFmtId="0" fontId="46" fillId="0" borderId="5" applyNumberFormat="0" applyFill="0" applyAlignment="0" applyProtection="0"/>
    <xf numFmtId="0" fontId="46" fillId="0" borderId="0" applyNumberFormat="0" applyFill="0" applyBorder="0" applyAlignment="0" applyProtection="0"/>
    <xf numFmtId="0" fontId="47" fillId="7" borderId="1" applyNumberFormat="0" applyAlignment="0" applyProtection="0"/>
    <xf numFmtId="0" fontId="48" fillId="0" borderId="6" applyNumberFormat="0" applyFill="0" applyAlignment="0" applyProtection="0"/>
    <xf numFmtId="0" fontId="49" fillId="7" borderId="0" applyNumberFormat="0" applyBorder="0" applyAlignment="0" applyProtection="0"/>
    <xf numFmtId="0" fontId="10" fillId="4" borderId="7" applyNumberFormat="0" applyFont="0" applyAlignment="0" applyProtection="0"/>
    <xf numFmtId="0" fontId="50" fillId="16" borderId="8" applyNumberFormat="0" applyAlignment="0" applyProtection="0"/>
    <xf numFmtId="0" fontId="51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48" fillId="0" borderId="0" applyNumberFormat="0" applyFill="0" applyBorder="0" applyAlignment="0" applyProtection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0" xfId="0" applyFont="1" applyBorder="1"/>
    <xf numFmtId="0" fontId="0" fillId="0" borderId="11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18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12" xfId="0" applyNumberFormat="1" applyFont="1" applyBorder="1" applyAlignment="1" applyProtection="1">
      <alignment horizontal="left"/>
    </xf>
    <xf numFmtId="165" fontId="1" fillId="0" borderId="12" xfId="0" applyNumberFormat="1" applyFont="1" applyBorder="1" applyAlignment="1" applyProtection="1">
      <alignment horizontal="left"/>
    </xf>
    <xf numFmtId="165" fontId="1" fillId="0" borderId="12" xfId="0" applyNumberFormat="1" applyFont="1" applyBorder="1" applyAlignment="1" applyProtection="1">
      <alignment horizontal="center"/>
    </xf>
    <xf numFmtId="40" fontId="1" fillId="0" borderId="12" xfId="0" applyNumberFormat="1" applyFont="1" applyBorder="1" applyProtection="1"/>
    <xf numFmtId="40" fontId="0" fillId="0" borderId="12" xfId="0" applyNumberFormat="1" applyBorder="1"/>
    <xf numFmtId="0" fontId="9" fillId="0" borderId="12" xfId="0" applyFont="1" applyBorder="1"/>
    <xf numFmtId="0" fontId="1" fillId="0" borderId="12" xfId="0" applyFont="1" applyBorder="1" applyAlignment="1">
      <alignment horizontal="center"/>
    </xf>
    <xf numFmtId="40" fontId="1" fillId="18" borderId="12" xfId="0" applyNumberFormat="1" applyFont="1" applyFill="1" applyBorder="1" applyAlignment="1" applyProtection="1">
      <alignment horizontal="left"/>
    </xf>
    <xf numFmtId="0" fontId="5" fillId="0" borderId="12" xfId="0" applyFont="1" applyBorder="1"/>
    <xf numFmtId="40" fontId="1" fillId="0" borderId="12" xfId="0" applyNumberFormat="1" applyFont="1" applyBorder="1"/>
    <xf numFmtId="165" fontId="1" fillId="0" borderId="13" xfId="0" applyNumberFormat="1" applyFont="1" applyBorder="1" applyAlignment="1" applyProtection="1">
      <alignment horizontal="left"/>
    </xf>
    <xf numFmtId="40" fontId="1" fillId="18" borderId="13" xfId="0" applyNumberFormat="1" applyFont="1" applyFill="1" applyBorder="1" applyAlignment="1" applyProtection="1">
      <alignment horizontal="left"/>
    </xf>
    <xf numFmtId="164" fontId="5" fillId="0" borderId="13" xfId="0" applyNumberFormat="1" applyFont="1" applyBorder="1" applyAlignment="1" applyProtection="1">
      <alignment horizontal="left"/>
    </xf>
    <xf numFmtId="165" fontId="1" fillId="0" borderId="13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4" xfId="0" applyFont="1" applyBorder="1"/>
    <xf numFmtId="49" fontId="1" fillId="0" borderId="14" xfId="0" applyNumberFormat="1" applyFont="1" applyBorder="1" applyAlignment="1">
      <alignment horizontal="center"/>
    </xf>
    <xf numFmtId="0" fontId="1" fillId="0" borderId="15" xfId="0" applyFont="1" applyBorder="1"/>
    <xf numFmtId="165" fontId="1" fillId="0" borderId="15" xfId="0" applyNumberFormat="1" applyFont="1" applyBorder="1" applyAlignment="1" applyProtection="1">
      <alignment horizontal="left"/>
    </xf>
    <xf numFmtId="40" fontId="2" fillId="0" borderId="15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12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15" xfId="0" applyNumberFormat="1" applyFont="1" applyBorder="1" applyAlignment="1" applyProtection="1">
      <alignment horizontal="center"/>
    </xf>
    <xf numFmtId="40" fontId="1" fillId="0" borderId="15" xfId="0" applyNumberFormat="1" applyFont="1" applyBorder="1"/>
    <xf numFmtId="0" fontId="1" fillId="0" borderId="15" xfId="0" applyFont="1" applyBorder="1" applyAlignment="1">
      <alignment horizontal="center"/>
    </xf>
    <xf numFmtId="164" fontId="5" fillId="0" borderId="15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0" fontId="1" fillId="0" borderId="13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13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12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12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12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12" xfId="0" applyFont="1" applyBorder="1" applyAlignment="1" applyProtection="1">
      <alignment horizontal="center"/>
    </xf>
    <xf numFmtId="40" fontId="3" fillId="0" borderId="12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13" xfId="0" applyNumberFormat="1" applyFont="1" applyBorder="1" applyProtection="1"/>
    <xf numFmtId="40" fontId="15" fillId="0" borderId="13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12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16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12" xfId="0" applyNumberFormat="1" applyFont="1" applyBorder="1" applyAlignment="1" applyProtection="1">
      <alignment horizontal="center" vertical="justify"/>
    </xf>
    <xf numFmtId="40" fontId="3" fillId="0" borderId="12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12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12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13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left"/>
    </xf>
    <xf numFmtId="40" fontId="3" fillId="0" borderId="13" xfId="0" applyNumberFormat="1" applyFont="1" applyBorder="1" applyAlignment="1" applyProtection="1">
      <alignment horizontal="right"/>
    </xf>
    <xf numFmtId="40" fontId="1" fillId="18" borderId="0" xfId="0" applyNumberFormat="1" applyFont="1" applyFill="1" applyBorder="1" applyAlignment="1" applyProtection="1">
      <alignment horizontal="left"/>
    </xf>
    <xf numFmtId="0" fontId="1" fillId="0" borderId="12" xfId="0" applyNumberFormat="1" applyFont="1" applyBorder="1" applyAlignment="1" applyProtection="1">
      <alignment horizontal="center"/>
    </xf>
    <xf numFmtId="0" fontId="1" fillId="0" borderId="12" xfId="0" applyNumberFormat="1" applyFont="1" applyBorder="1" applyAlignment="1" applyProtection="1">
      <alignment horizontal="left"/>
    </xf>
    <xf numFmtId="0" fontId="1" fillId="0" borderId="13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14" xfId="0" applyNumberFormat="1" applyFont="1" applyBorder="1" applyProtection="1"/>
    <xf numFmtId="0" fontId="1" fillId="0" borderId="14" xfId="0" applyFont="1" applyBorder="1" applyAlignment="1">
      <alignment horizontal="center"/>
    </xf>
    <xf numFmtId="0" fontId="1" fillId="0" borderId="14" xfId="0" applyNumberFormat="1" applyFont="1" applyBorder="1" applyAlignment="1" applyProtection="1">
      <alignment horizontal="center"/>
    </xf>
    <xf numFmtId="165" fontId="1" fillId="0" borderId="14" xfId="0" applyNumberFormat="1" applyFont="1" applyBorder="1" applyAlignment="1" applyProtection="1">
      <alignment horizontal="left"/>
    </xf>
    <xf numFmtId="40" fontId="2" fillId="0" borderId="14" xfId="0" applyNumberFormat="1" applyFont="1" applyBorder="1" applyProtection="1">
      <protection locked="0"/>
    </xf>
    <xf numFmtId="40" fontId="0" fillId="0" borderId="14" xfId="0" applyNumberFormat="1" applyBorder="1"/>
    <xf numFmtId="40" fontId="1" fillId="18" borderId="14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19" borderId="0" xfId="0" applyNumberFormat="1" applyFill="1" applyAlignment="1" applyProtection="1">
      <alignment horizontal="right"/>
      <protection locked="0"/>
    </xf>
    <xf numFmtId="49" fontId="9" fillId="19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9" fillId="0" borderId="2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20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21" xfId="0" applyNumberFormat="1" applyBorder="1" applyAlignment="1" applyProtection="1">
      <alignment horizontal="right"/>
      <protection locked="0"/>
    </xf>
    <xf numFmtId="1" fontId="0" fillId="0" borderId="22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20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0" fontId="9" fillId="0" borderId="23" xfId="0" applyNumberFormat="1" applyFont="1" applyBorder="1"/>
    <xf numFmtId="4" fontId="9" fillId="0" borderId="0" xfId="0" applyNumberFormat="1" applyFont="1" applyBorder="1"/>
    <xf numFmtId="4" fontId="9" fillId="0" borderId="14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23" xfId="0" applyNumberFormat="1" applyFont="1" applyBorder="1"/>
    <xf numFmtId="40" fontId="9" fillId="0" borderId="23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19" borderId="0" xfId="0" applyFill="1"/>
    <xf numFmtId="40" fontId="0" fillId="21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17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2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0" fillId="0" borderId="22" xfId="0" applyBorder="1"/>
    <xf numFmtId="40" fontId="0" fillId="0" borderId="22" xfId="0" applyNumberFormat="1" applyBorder="1"/>
    <xf numFmtId="40" fontId="0" fillId="0" borderId="24" xfId="0" applyNumberFormat="1" applyBorder="1"/>
    <xf numFmtId="0" fontId="0" fillId="19" borderId="0" xfId="0" applyFill="1" applyBorder="1"/>
    <xf numFmtId="40" fontId="0" fillId="0" borderId="25" xfId="0" applyNumberFormat="1" applyBorder="1"/>
    <xf numFmtId="0" fontId="0" fillId="19" borderId="24" xfId="0" applyFill="1" applyBorder="1"/>
    <xf numFmtId="0" fontId="0" fillId="19" borderId="25" xfId="0" applyFill="1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" fontId="53" fillId="0" borderId="0" xfId="0" applyNumberFormat="1" applyFont="1" applyProtection="1">
      <protection locked="0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2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9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22" xfId="0" applyNumberFormat="1" applyFont="1" applyBorder="1" applyAlignment="1" applyProtection="1">
      <alignment horizontal="left"/>
      <protection locked="0"/>
    </xf>
    <xf numFmtId="49" fontId="10" fillId="0" borderId="3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2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9" xfId="0" applyNumberFormat="1" applyFont="1" applyBorder="1" applyAlignment="1" applyProtection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6E36-58F3-460F-AE85-464597F9ACA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491</v>
      </c>
      <c r="C2" s="21">
        <v>491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45">
        <v>0</v>
      </c>
      <c r="G9" s="145">
        <v>0</v>
      </c>
      <c r="H9" s="145">
        <v>0</v>
      </c>
      <c r="I9" s="145">
        <v>0</v>
      </c>
      <c r="J9" s="67">
        <f>SUM(I431)</f>
        <v>18825.03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45">
        <v>0</v>
      </c>
      <c r="G10" s="145">
        <v>0</v>
      </c>
      <c r="H10" s="145">
        <v>0</v>
      </c>
      <c r="I10" s="145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45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653007.57999999996</v>
      </c>
      <c r="G12" s="18">
        <v>0</v>
      </c>
      <c r="H12" s="18">
        <v>0</v>
      </c>
      <c r="I12" s="18">
        <v>2607541.27</v>
      </c>
      <c r="J12" s="67">
        <f>SUM(I433)</f>
        <v>17938.310000000001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86460.479999999996</v>
      </c>
      <c r="G13" s="18">
        <v>27360.86</v>
      </c>
      <c r="H13" s="18">
        <v>127058.74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739468.05999999994</v>
      </c>
      <c r="G19" s="41">
        <f>SUM(G9:G18)</f>
        <v>27360.86</v>
      </c>
      <c r="H19" s="41">
        <f>SUM(H9:H18)</f>
        <v>127058.74</v>
      </c>
      <c r="I19" s="41">
        <f>SUM(I9:I18)</f>
        <v>2607541.27</v>
      </c>
      <c r="J19" s="41">
        <f>SUM(J9:J18)</f>
        <v>36763.339999999997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1242.17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121949</v>
      </c>
      <c r="H24" s="18">
        <v>52835.41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739468.06</v>
      </c>
      <c r="G25" s="18">
        <v>10888.41</v>
      </c>
      <c r="H25" s="18">
        <v>84775.34</v>
      </c>
      <c r="I25" s="18">
        <v>813178.36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8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739468.06</v>
      </c>
      <c r="G33" s="41">
        <f>SUM(G23:G32)</f>
        <v>132837.41</v>
      </c>
      <c r="H33" s="41">
        <f>SUM(H23:H32)</f>
        <v>137610.75</v>
      </c>
      <c r="I33" s="41">
        <f>SUM(I23:I32)</f>
        <v>813178.36</v>
      </c>
      <c r="J33" s="41">
        <f>SUM(J23:J32)</f>
        <v>1242.17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-105476.55</v>
      </c>
      <c r="H41" s="18">
        <v>-10552.01</v>
      </c>
      <c r="I41" s="18">
        <v>1794362.91</v>
      </c>
      <c r="J41" s="13">
        <f>SUM(I449)</f>
        <v>35521.17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-105476.55</v>
      </c>
      <c r="H43" s="41">
        <f>SUM(H35:H42)</f>
        <v>-10552.01</v>
      </c>
      <c r="I43" s="41">
        <f>SUM(I35:I42)</f>
        <v>1794362.91</v>
      </c>
      <c r="J43" s="41">
        <f>SUM(J35:J42)</f>
        <v>35521.17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739468.06</v>
      </c>
      <c r="G44" s="41">
        <f>G43+G33</f>
        <v>27360.86</v>
      </c>
      <c r="H44" s="41">
        <f>H43+H33</f>
        <v>127058.74</v>
      </c>
      <c r="I44" s="41">
        <f>I43+I33</f>
        <v>2607541.27</v>
      </c>
      <c r="J44" s="41">
        <f>J43+J33</f>
        <v>36763.339999999997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9502240.0600000005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9502240.0600000005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2826.72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1642380.51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53673.55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1698880.78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322638.61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1470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38390.089999999997</v>
      </c>
      <c r="G102" s="18">
        <v>11593.2</v>
      </c>
      <c r="H102" s="18">
        <v>0</v>
      </c>
      <c r="I102" s="18">
        <v>0</v>
      </c>
      <c r="J102" s="18">
        <v>34729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39860.089999999997</v>
      </c>
      <c r="G103" s="41">
        <f>SUM(G88:G102)</f>
        <v>334231.81</v>
      </c>
      <c r="H103" s="41">
        <f>SUM(H88:H102)</f>
        <v>0</v>
      </c>
      <c r="I103" s="41">
        <f>SUM(I88:I102)</f>
        <v>0</v>
      </c>
      <c r="J103" s="41">
        <f>SUM(J88:J102)</f>
        <v>34729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11240980.93</v>
      </c>
      <c r="G104" s="41">
        <f>G52+G103</f>
        <v>334231.81</v>
      </c>
      <c r="H104" s="41">
        <f>H52+H71+H86+H103</f>
        <v>0</v>
      </c>
      <c r="I104" s="41">
        <f>I52+I103</f>
        <v>0</v>
      </c>
      <c r="J104" s="41">
        <f>J52+J103</f>
        <v>34729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5267697.03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2069705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2021051.97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-4650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9358454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-4650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267065.3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384532.18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148963.07999999999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36900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6979.72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837460.55999999994</v>
      </c>
      <c r="G128" s="41">
        <f>SUM(G115:G127)</f>
        <v>6979.72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10195914.560000001</v>
      </c>
      <c r="G132" s="41">
        <f>G113+SUM(G128:G129)</f>
        <v>6979.72</v>
      </c>
      <c r="H132" s="41">
        <f>H113+SUM(H128:H131)</f>
        <v>0</v>
      </c>
      <c r="I132" s="41">
        <f>I113+I128</f>
        <v>0</v>
      </c>
      <c r="J132" s="41">
        <f>J113+J128</f>
        <v>-4650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613672.47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699701.16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92445.04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319427.86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242134.07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242134.07</v>
      </c>
      <c r="G154" s="41">
        <f>SUM(G142:G153)</f>
        <v>319427.86</v>
      </c>
      <c r="H154" s="41">
        <f>SUM(H142:H153)</f>
        <v>1405818.67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242134.07</v>
      </c>
      <c r="G161" s="41">
        <f>G139+G154+SUM(G155:G160)</f>
        <v>319427.86</v>
      </c>
      <c r="H161" s="41">
        <f>H139+H154+SUM(H155:H160)</f>
        <v>1405818.67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21679029.560000002</v>
      </c>
      <c r="G185" s="47">
        <f>G104+G132+G161+G184</f>
        <v>660639.3899999999</v>
      </c>
      <c r="H185" s="47">
        <f>H104+H132+H161+H184</f>
        <v>1405818.67</v>
      </c>
      <c r="I185" s="47">
        <f>I104+I132+I161+I184</f>
        <v>0</v>
      </c>
      <c r="J185" s="47">
        <f>J104+J132+J184</f>
        <v>30079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1715603.1579067123</v>
      </c>
      <c r="G189" s="18">
        <v>869526.65173492604</v>
      </c>
      <c r="H189" s="18">
        <v>61371.246006825939</v>
      </c>
      <c r="I189" s="18">
        <v>105380.9170989761</v>
      </c>
      <c r="J189" s="18">
        <v>40890.339999999997</v>
      </c>
      <c r="K189" s="18">
        <v>0</v>
      </c>
      <c r="L189" s="19">
        <f>SUM(F189:K189)</f>
        <v>2792772.3127474403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776558.92704209336</v>
      </c>
      <c r="G190" s="18">
        <v>470651.08734926058</v>
      </c>
      <c r="H190" s="18">
        <v>221764.21646188851</v>
      </c>
      <c r="I190" s="18">
        <v>15630.24</v>
      </c>
      <c r="J190" s="18">
        <v>30</v>
      </c>
      <c r="K190" s="18">
        <v>0</v>
      </c>
      <c r="L190" s="19">
        <f>SUM(F190:K190)</f>
        <v>1484634.4708532423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341197.18</v>
      </c>
      <c r="G194" s="18">
        <v>132786.04999999999</v>
      </c>
      <c r="H194" s="18">
        <v>114012.60664960183</v>
      </c>
      <c r="I194" s="18">
        <v>6038.25</v>
      </c>
      <c r="J194" s="18">
        <v>0</v>
      </c>
      <c r="K194" s="18">
        <v>4962.6406996587039</v>
      </c>
      <c r="L194" s="19">
        <f t="shared" ref="L194:L200" si="0">SUM(F194:K194)</f>
        <v>598996.72734926047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40531.14</v>
      </c>
      <c r="G195" s="18">
        <v>6136.26</v>
      </c>
      <c r="H195" s="18">
        <v>8113</v>
      </c>
      <c r="I195" s="18">
        <v>11606.72</v>
      </c>
      <c r="J195" s="18">
        <v>0</v>
      </c>
      <c r="K195" s="18">
        <v>0</v>
      </c>
      <c r="L195" s="19">
        <f t="shared" si="0"/>
        <v>66387.12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0</v>
      </c>
      <c r="G196" s="18">
        <v>0</v>
      </c>
      <c r="H196" s="18">
        <v>334295.87642207061</v>
      </c>
      <c r="I196" s="18">
        <v>2002.5906143344712</v>
      </c>
      <c r="J196" s="18">
        <v>0</v>
      </c>
      <c r="K196" s="18">
        <v>1944.9891069397042</v>
      </c>
      <c r="L196" s="19">
        <f t="shared" si="0"/>
        <v>338243.45614334475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263971.15999999997</v>
      </c>
      <c r="G197" s="18">
        <v>106527.85</v>
      </c>
      <c r="H197" s="18">
        <v>12489.54986348123</v>
      </c>
      <c r="I197" s="18">
        <v>3591.34</v>
      </c>
      <c r="J197" s="18">
        <v>816.08</v>
      </c>
      <c r="K197" s="18">
        <v>1340</v>
      </c>
      <c r="L197" s="19">
        <f t="shared" si="0"/>
        <v>388735.97986348131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220985.19354948809</v>
      </c>
      <c r="G199" s="18">
        <v>109837.07766780432</v>
      </c>
      <c r="H199" s="18">
        <v>195299.83171786123</v>
      </c>
      <c r="I199" s="18">
        <v>158112.0122298066</v>
      </c>
      <c r="J199" s="18">
        <v>0</v>
      </c>
      <c r="K199" s="18">
        <v>0</v>
      </c>
      <c r="L199" s="19">
        <f t="shared" si="0"/>
        <v>684234.11516496027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292250.83312855521</v>
      </c>
      <c r="I200" s="18">
        <v>751.34442548350398</v>
      </c>
      <c r="J200" s="18">
        <v>0</v>
      </c>
      <c r="K200" s="18">
        <v>0</v>
      </c>
      <c r="L200" s="19">
        <f t="shared" si="0"/>
        <v>293002.1775540387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75166.105858930605</v>
      </c>
      <c r="I201" s="18">
        <v>0</v>
      </c>
      <c r="J201" s="18">
        <v>0</v>
      </c>
      <c r="K201" s="18">
        <v>0</v>
      </c>
      <c r="L201" s="19">
        <f>SUM(F201:K201)</f>
        <v>75166.105858930605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3358846.7584982943</v>
      </c>
      <c r="G203" s="41">
        <f t="shared" si="1"/>
        <v>1695464.9767519911</v>
      </c>
      <c r="H203" s="41">
        <f t="shared" si="1"/>
        <v>1314763.2661092153</v>
      </c>
      <c r="I203" s="41">
        <f t="shared" si="1"/>
        <v>303113.4143686007</v>
      </c>
      <c r="J203" s="41">
        <f t="shared" si="1"/>
        <v>41736.42</v>
      </c>
      <c r="K203" s="41">
        <f t="shared" si="1"/>
        <v>8247.6298065984083</v>
      </c>
      <c r="L203" s="41">
        <f t="shared" si="1"/>
        <v>6722172.4655346982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1672496.0659613195</v>
      </c>
      <c r="G207" s="18">
        <v>785157.1486461889</v>
      </c>
      <c r="H207" s="18">
        <v>57448.774197952218</v>
      </c>
      <c r="I207" s="18">
        <v>81700.325870307162</v>
      </c>
      <c r="J207" s="18">
        <v>6162.81</v>
      </c>
      <c r="K207" s="18">
        <v>0</v>
      </c>
      <c r="L207" s="19">
        <f>SUM(F207:K207)</f>
        <v>2602965.124675768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729156.6975540386</v>
      </c>
      <c r="G208" s="18">
        <v>438478.57646188844</v>
      </c>
      <c r="H208" s="18">
        <v>625705.4007281001</v>
      </c>
      <c r="I208" s="18">
        <v>9886.68</v>
      </c>
      <c r="J208" s="18">
        <v>1753.56</v>
      </c>
      <c r="K208" s="18">
        <v>0</v>
      </c>
      <c r="L208" s="19">
        <f>SUM(F208:K208)</f>
        <v>1804980.9147440272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17184</v>
      </c>
      <c r="G210" s="18">
        <v>1784.35</v>
      </c>
      <c r="H210" s="18">
        <v>2760.56</v>
      </c>
      <c r="I210" s="18">
        <v>1129.5999999999999</v>
      </c>
      <c r="J210" s="18">
        <v>1870</v>
      </c>
      <c r="K210" s="18">
        <v>0</v>
      </c>
      <c r="L210" s="19">
        <f>SUM(F210:K210)</f>
        <v>24728.51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283875.59999999998</v>
      </c>
      <c r="G212" s="18">
        <v>100327.73</v>
      </c>
      <c r="H212" s="18">
        <v>70866.11117178612</v>
      </c>
      <c r="I212" s="18">
        <v>3169.88</v>
      </c>
      <c r="J212" s="18">
        <v>500</v>
      </c>
      <c r="K212" s="18">
        <v>4167.5452901023891</v>
      </c>
      <c r="L212" s="19">
        <f t="shared" ref="L212:L218" si="2">SUM(F212:K212)</f>
        <v>462906.86646188842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37098.1</v>
      </c>
      <c r="G213" s="18">
        <v>7838.03</v>
      </c>
      <c r="H213" s="18">
        <v>6190</v>
      </c>
      <c r="I213" s="18">
        <v>7816.41</v>
      </c>
      <c r="J213" s="18">
        <v>0</v>
      </c>
      <c r="K213" s="18">
        <v>0</v>
      </c>
      <c r="L213" s="19">
        <f t="shared" si="2"/>
        <v>58942.539999999994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285336.00790671218</v>
      </c>
      <c r="I214" s="18">
        <v>1709.2978156996589</v>
      </c>
      <c r="J214" s="18">
        <v>0</v>
      </c>
      <c r="K214" s="18">
        <v>1660.1324345847554</v>
      </c>
      <c r="L214" s="19">
        <f t="shared" si="2"/>
        <v>288705.43815699662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243198.56</v>
      </c>
      <c r="G215" s="18">
        <v>80030.39</v>
      </c>
      <c r="H215" s="18">
        <v>9498.1160409556323</v>
      </c>
      <c r="I215" s="18">
        <v>2360.9299999999998</v>
      </c>
      <c r="J215" s="18">
        <v>1500</v>
      </c>
      <c r="K215" s="18">
        <v>1548</v>
      </c>
      <c r="L215" s="19">
        <f t="shared" si="2"/>
        <v>338135.99604095565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170012.60293515358</v>
      </c>
      <c r="G217" s="18">
        <v>70630.37903299203</v>
      </c>
      <c r="H217" s="18">
        <v>413078.12315130827</v>
      </c>
      <c r="I217" s="18">
        <v>93756.357997724685</v>
      </c>
      <c r="J217" s="18">
        <v>7000</v>
      </c>
      <c r="K217" s="18">
        <v>0</v>
      </c>
      <c r="L217" s="19">
        <f t="shared" si="2"/>
        <v>754477.46311717853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248437.29739476679</v>
      </c>
      <c r="I218" s="18">
        <v>641.30500568828211</v>
      </c>
      <c r="J218" s="18">
        <v>0</v>
      </c>
      <c r="K218" s="18">
        <v>0</v>
      </c>
      <c r="L218" s="19">
        <f t="shared" si="2"/>
        <v>249078.60240045507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64157.526575654156</v>
      </c>
      <c r="I219" s="18">
        <v>0</v>
      </c>
      <c r="J219" s="18">
        <v>0</v>
      </c>
      <c r="K219" s="18">
        <v>0</v>
      </c>
      <c r="L219" s="19">
        <f>SUM(F219:K219)</f>
        <v>64157.526575654156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3153021.6264505116</v>
      </c>
      <c r="G221" s="41">
        <f>SUM(G207:G220)</f>
        <v>1484246.6041410693</v>
      </c>
      <c r="H221" s="41">
        <f>SUM(H207:H220)</f>
        <v>1783477.9171672352</v>
      </c>
      <c r="I221" s="41">
        <f>SUM(I207:I220)</f>
        <v>202170.78668941977</v>
      </c>
      <c r="J221" s="41">
        <f>SUM(J207:J220)</f>
        <v>18786.370000000003</v>
      </c>
      <c r="K221" s="41">
        <f t="shared" si="3"/>
        <v>7375.6777246871443</v>
      </c>
      <c r="L221" s="41">
        <f t="shared" si="3"/>
        <v>6649078.9821729232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1346157.2161319682</v>
      </c>
      <c r="G225" s="18">
        <v>680457.00961888523</v>
      </c>
      <c r="H225" s="18">
        <v>36420.81979522184</v>
      </c>
      <c r="I225" s="18">
        <v>61399.207030716716</v>
      </c>
      <c r="J225" s="18">
        <v>4330.1099999999997</v>
      </c>
      <c r="K225" s="18">
        <v>0</v>
      </c>
      <c r="L225" s="19">
        <f>SUM(F225:K225)</f>
        <v>2128764.3625767916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618326.02540386806</v>
      </c>
      <c r="G226" s="18">
        <v>341898.83618885098</v>
      </c>
      <c r="H226" s="18">
        <v>870363.90281001141</v>
      </c>
      <c r="I226" s="18">
        <v>8204.17</v>
      </c>
      <c r="J226" s="18">
        <v>287.85000000000002</v>
      </c>
      <c r="K226" s="18">
        <v>0</v>
      </c>
      <c r="L226" s="19">
        <f>SUM(F226:K226)</f>
        <v>1839080.7844027304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410035.45</v>
      </c>
      <c r="G227" s="18">
        <v>186960.86</v>
      </c>
      <c r="H227" s="18">
        <v>19716.900000000001</v>
      </c>
      <c r="I227" s="18">
        <v>52627.69</v>
      </c>
      <c r="J227" s="18">
        <v>17431.990000000002</v>
      </c>
      <c r="K227" s="18">
        <v>0</v>
      </c>
      <c r="L227" s="19">
        <f>SUM(F227:K227)</f>
        <v>686772.89000000013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91249</v>
      </c>
      <c r="G228" s="18">
        <v>11120.81</v>
      </c>
      <c r="H228" s="18">
        <v>45572.02</v>
      </c>
      <c r="I228" s="18">
        <v>18152.82</v>
      </c>
      <c r="J228" s="18">
        <v>10000</v>
      </c>
      <c r="K228" s="18">
        <v>7155</v>
      </c>
      <c r="L228" s="19">
        <f>SUM(F228:K228)</f>
        <v>183249.65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220903.88</v>
      </c>
      <c r="G230" s="18">
        <v>69988.03</v>
      </c>
      <c r="H230" s="18">
        <v>78020.942178612066</v>
      </c>
      <c r="I230" s="18">
        <v>6222.62</v>
      </c>
      <c r="J230" s="18">
        <v>0</v>
      </c>
      <c r="K230" s="18">
        <v>4632.4240102389085</v>
      </c>
      <c r="L230" s="19">
        <f t="shared" ref="L230:L236" si="4">SUM(F230:K230)</f>
        <v>379767.89618885098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57553.27</v>
      </c>
      <c r="G231" s="18">
        <v>17643.28</v>
      </c>
      <c r="H231" s="18">
        <v>9078.92</v>
      </c>
      <c r="I231" s="18">
        <v>20492.72</v>
      </c>
      <c r="J231" s="18">
        <v>5181.88</v>
      </c>
      <c r="K231" s="18">
        <v>0</v>
      </c>
      <c r="L231" s="19">
        <f t="shared" si="4"/>
        <v>109950.06999999999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305867.56567121734</v>
      </c>
      <c r="I232" s="18">
        <v>1832.2915699658704</v>
      </c>
      <c r="J232" s="18">
        <v>0</v>
      </c>
      <c r="K232" s="18">
        <v>1779.5884584755406</v>
      </c>
      <c r="L232" s="19">
        <f t="shared" si="4"/>
        <v>309479.44569965877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350848.03</v>
      </c>
      <c r="G233" s="18">
        <v>107769.49</v>
      </c>
      <c r="H233" s="18">
        <v>11992.604095563142</v>
      </c>
      <c r="I233" s="18">
        <v>21546.78</v>
      </c>
      <c r="J233" s="18">
        <v>1049</v>
      </c>
      <c r="K233" s="18">
        <v>4175</v>
      </c>
      <c r="L233" s="19">
        <f t="shared" si="4"/>
        <v>497380.90409556311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246165.86351535836</v>
      </c>
      <c r="G235" s="18">
        <v>128121.75329920364</v>
      </c>
      <c r="H235" s="18">
        <v>236476.05513083047</v>
      </c>
      <c r="I235" s="18">
        <v>407431.88977246877</v>
      </c>
      <c r="J235" s="18">
        <v>0</v>
      </c>
      <c r="K235" s="18">
        <v>0</v>
      </c>
      <c r="L235" s="19">
        <f t="shared" si="4"/>
        <v>1018195.5617178613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331351.42947667808</v>
      </c>
      <c r="I236" s="18">
        <v>687.45056882821393</v>
      </c>
      <c r="J236" s="18">
        <v>0</v>
      </c>
      <c r="K236" s="18">
        <v>0</v>
      </c>
      <c r="L236" s="19">
        <f t="shared" si="4"/>
        <v>332038.88004550629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68774.02756541525</v>
      </c>
      <c r="I237" s="18">
        <v>0</v>
      </c>
      <c r="J237" s="18">
        <v>0</v>
      </c>
      <c r="K237" s="18">
        <v>0</v>
      </c>
      <c r="L237" s="19">
        <f>SUM(F237:K237)</f>
        <v>68774.02756541525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3341238.7350511951</v>
      </c>
      <c r="G239" s="41">
        <f t="shared" si="5"/>
        <v>1543960.0691069399</v>
      </c>
      <c r="H239" s="41">
        <f t="shared" si="5"/>
        <v>2013635.1867235496</v>
      </c>
      <c r="I239" s="41">
        <f t="shared" si="5"/>
        <v>598597.63894197962</v>
      </c>
      <c r="J239" s="41">
        <f t="shared" si="5"/>
        <v>38280.83</v>
      </c>
      <c r="K239" s="41">
        <f t="shared" si="5"/>
        <v>17742.012468714449</v>
      </c>
      <c r="L239" s="41">
        <f t="shared" si="5"/>
        <v>7553454.4722923795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9853107.120000001</v>
      </c>
      <c r="G249" s="41">
        <f t="shared" si="8"/>
        <v>4723671.6500000004</v>
      </c>
      <c r="H249" s="41">
        <f t="shared" si="8"/>
        <v>5111876.37</v>
      </c>
      <c r="I249" s="41">
        <f t="shared" si="8"/>
        <v>1103881.8400000001</v>
      </c>
      <c r="J249" s="41">
        <f t="shared" si="8"/>
        <v>98803.62</v>
      </c>
      <c r="K249" s="41">
        <f t="shared" si="8"/>
        <v>33365.32</v>
      </c>
      <c r="L249" s="41">
        <f t="shared" si="8"/>
        <v>20924705.920000002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543545</v>
      </c>
      <c r="L252" s="19">
        <f>SUM(F252:K252)</f>
        <v>543545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210778.64</v>
      </c>
      <c r="L253" s="19">
        <f>SUM(F253:K253)</f>
        <v>210778.64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754323.64</v>
      </c>
      <c r="L262" s="41">
        <f t="shared" si="9"/>
        <v>754323.64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9853107.120000001</v>
      </c>
      <c r="G263" s="42">
        <f t="shared" si="11"/>
        <v>4723671.6500000004</v>
      </c>
      <c r="H263" s="42">
        <f t="shared" si="11"/>
        <v>5111876.37</v>
      </c>
      <c r="I263" s="42">
        <f t="shared" si="11"/>
        <v>1103881.8400000001</v>
      </c>
      <c r="J263" s="42">
        <f t="shared" si="11"/>
        <v>98803.62</v>
      </c>
      <c r="K263" s="42">
        <f t="shared" si="11"/>
        <v>787688.95999999996</v>
      </c>
      <c r="L263" s="42">
        <f t="shared" si="11"/>
        <v>21679029.560000002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81837.465022753138</v>
      </c>
      <c r="G268" s="18">
        <v>3234.2674288964736</v>
      </c>
      <c r="H268" s="18">
        <v>41721.828805460755</v>
      </c>
      <c r="I268" s="18">
        <v>1783.2602161547215</v>
      </c>
      <c r="J268" s="18">
        <v>30694.693572241187</v>
      </c>
      <c r="K268" s="18">
        <v>0</v>
      </c>
      <c r="L268" s="19">
        <f>SUM(F268:K268)</f>
        <v>159271.5150455063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311574.12617672043</v>
      </c>
      <c r="G269" s="18">
        <v>127557.48443828576</v>
      </c>
      <c r="H269" s="18">
        <v>71300.985227531273</v>
      </c>
      <c r="I269" s="18">
        <v>9343.1072387425647</v>
      </c>
      <c r="J269" s="18">
        <v>0</v>
      </c>
      <c r="K269" s="18">
        <v>0</v>
      </c>
      <c r="L269" s="19">
        <f>SUM(F269:K269)</f>
        <v>519775.70308128005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122.75944254835041</v>
      </c>
      <c r="L271" s="19">
        <f>SUM(F271:K271)</f>
        <v>122.75944254835041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5000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5000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4314.9643060295793</v>
      </c>
      <c r="G274" s="18">
        <v>0</v>
      </c>
      <c r="H274" s="18">
        <v>46781.43853446751</v>
      </c>
      <c r="I274" s="18">
        <v>1080.8900000000001</v>
      </c>
      <c r="J274" s="18">
        <v>0</v>
      </c>
      <c r="K274" s="18">
        <v>50</v>
      </c>
      <c r="L274" s="19">
        <f t="shared" si="12"/>
        <v>52227.292840497088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49664</v>
      </c>
      <c r="G277" s="18">
        <v>3800</v>
      </c>
      <c r="H277" s="18">
        <v>4212</v>
      </c>
      <c r="I277" s="18">
        <v>0</v>
      </c>
      <c r="J277" s="18">
        <v>0</v>
      </c>
      <c r="K277" s="18">
        <v>20179.410392491467</v>
      </c>
      <c r="L277" s="19">
        <f t="shared" si="12"/>
        <v>77855.410392491467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4214.0702218430033</v>
      </c>
      <c r="I280" s="18">
        <v>0</v>
      </c>
      <c r="J280" s="18">
        <v>0</v>
      </c>
      <c r="K280" s="18">
        <v>0</v>
      </c>
      <c r="L280" s="19">
        <f>SUM(F280:K280)</f>
        <v>4214.0702218430033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447390.5555055032</v>
      </c>
      <c r="G282" s="42">
        <f t="shared" si="13"/>
        <v>134591.75186718223</v>
      </c>
      <c r="H282" s="42">
        <f t="shared" si="13"/>
        <v>173230.32278930253</v>
      </c>
      <c r="I282" s="42">
        <f t="shared" si="13"/>
        <v>12207.257454897286</v>
      </c>
      <c r="J282" s="42">
        <f t="shared" si="13"/>
        <v>30694.693572241187</v>
      </c>
      <c r="K282" s="42">
        <f t="shared" si="13"/>
        <v>20352.169835039818</v>
      </c>
      <c r="L282" s="41">
        <f t="shared" si="13"/>
        <v>818466.75102416635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61626.087326507397</v>
      </c>
      <c r="G287" s="18">
        <v>1954.3721046643916</v>
      </c>
      <c r="H287" s="18">
        <v>22304.835358361775</v>
      </c>
      <c r="I287" s="18">
        <v>2679.9896018202503</v>
      </c>
      <c r="J287" s="18">
        <v>26199.250261660982</v>
      </c>
      <c r="K287" s="18">
        <v>0</v>
      </c>
      <c r="L287" s="19">
        <f>SUM(F287:K287)</f>
        <v>114764.53465301481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5270.6138232795238</v>
      </c>
      <c r="G288" s="18">
        <v>640.69040244233668</v>
      </c>
      <c r="H288" s="18">
        <v>-209.73673492605232</v>
      </c>
      <c r="I288" s="18">
        <v>3508.2027612574338</v>
      </c>
      <c r="J288" s="18">
        <v>0</v>
      </c>
      <c r="K288" s="18">
        <v>0</v>
      </c>
      <c r="L288" s="19">
        <f>SUM(F288:K288)</f>
        <v>9209.7702520532421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104.78050056882822</v>
      </c>
      <c r="L290" s="19">
        <f>SUM(F290:K290)</f>
        <v>104.78050056882822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3537.90654152446</v>
      </c>
      <c r="G293" s="18">
        <v>0</v>
      </c>
      <c r="H293" s="18">
        <v>12468.216875088805</v>
      </c>
      <c r="I293" s="18">
        <v>42.19</v>
      </c>
      <c r="J293" s="18">
        <v>0</v>
      </c>
      <c r="K293" s="18">
        <v>0</v>
      </c>
      <c r="L293" s="19">
        <f t="shared" si="14"/>
        <v>16048.313416613266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4111.8263822525605</v>
      </c>
      <c r="L296" s="19">
        <f t="shared" si="14"/>
        <v>4111.8263822525605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3596.8914334470992</v>
      </c>
      <c r="I299" s="18">
        <v>0</v>
      </c>
      <c r="J299" s="18">
        <v>0</v>
      </c>
      <c r="K299" s="18">
        <v>0</v>
      </c>
      <c r="L299" s="19">
        <f>SUM(F299:K299)</f>
        <v>3596.8914334470992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70434.607691311379</v>
      </c>
      <c r="G301" s="42">
        <f t="shared" si="15"/>
        <v>2595.0625071067284</v>
      </c>
      <c r="H301" s="42">
        <f t="shared" si="15"/>
        <v>38160.206931971625</v>
      </c>
      <c r="I301" s="42">
        <f t="shared" si="15"/>
        <v>6230.3823630776833</v>
      </c>
      <c r="J301" s="42">
        <f t="shared" si="15"/>
        <v>26199.250261660982</v>
      </c>
      <c r="K301" s="42">
        <f t="shared" si="15"/>
        <v>4216.6068828213884</v>
      </c>
      <c r="L301" s="41">
        <f t="shared" si="15"/>
        <v>147836.1166379498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102870.71765073949</v>
      </c>
      <c r="G306" s="18">
        <v>1856.2304664391354</v>
      </c>
      <c r="H306" s="18">
        <v>23909.795836177476</v>
      </c>
      <c r="I306" s="18">
        <v>4735.7301820250286</v>
      </c>
      <c r="J306" s="18">
        <v>33556.736166097842</v>
      </c>
      <c r="K306" s="18">
        <v>0</v>
      </c>
      <c r="L306" s="19">
        <f>SUM(F306:K306)</f>
        <v>166929.21030147898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40.845159271899888</v>
      </c>
      <c r="H307" s="18">
        <v>-224.82849260523321</v>
      </c>
      <c r="I307" s="18">
        <v>0</v>
      </c>
      <c r="J307" s="18">
        <v>0</v>
      </c>
      <c r="K307" s="18">
        <v>0</v>
      </c>
      <c r="L307" s="19">
        <f>SUM(F307:K307)</f>
        <v>-183.98333333333332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70137.02</v>
      </c>
      <c r="G308" s="18">
        <v>2245.13</v>
      </c>
      <c r="H308" s="18">
        <v>119708.11</v>
      </c>
      <c r="I308" s="18">
        <v>30250.959999999999</v>
      </c>
      <c r="J308" s="18">
        <v>50337.59</v>
      </c>
      <c r="K308" s="18">
        <v>0</v>
      </c>
      <c r="L308" s="19">
        <f>SUM(F308:K308)</f>
        <v>272678.81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112.32005688282139</v>
      </c>
      <c r="L309" s="19">
        <f>SUM(F309:K309)</f>
        <v>112.32005688282139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1200</v>
      </c>
      <c r="I311" s="18">
        <v>562.57000000000005</v>
      </c>
      <c r="J311" s="18">
        <v>0</v>
      </c>
      <c r="K311" s="18">
        <v>0</v>
      </c>
      <c r="L311" s="19">
        <f t="shared" ref="L311:L317" si="16">SUM(F311:K311)</f>
        <v>1762.5700000000002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3792.4791524459615</v>
      </c>
      <c r="G312" s="18">
        <v>0</v>
      </c>
      <c r="H312" s="18">
        <v>27910.684590443685</v>
      </c>
      <c r="I312" s="18">
        <v>0</v>
      </c>
      <c r="J312" s="18">
        <v>0</v>
      </c>
      <c r="K312" s="18">
        <v>382</v>
      </c>
      <c r="L312" s="19">
        <f t="shared" si="16"/>
        <v>32085.163742889647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-645.54</v>
      </c>
      <c r="J314" s="18">
        <v>0</v>
      </c>
      <c r="K314" s="18">
        <v>0</v>
      </c>
      <c r="L314" s="19">
        <f t="shared" si="16"/>
        <v>-645.54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12174.793225255973</v>
      </c>
      <c r="L315" s="19">
        <f t="shared" si="16"/>
        <v>12174.793225255973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956</v>
      </c>
      <c r="I316" s="18">
        <v>0</v>
      </c>
      <c r="J316" s="18">
        <v>0</v>
      </c>
      <c r="K316" s="18">
        <v>0</v>
      </c>
      <c r="L316" s="19">
        <f t="shared" si="16"/>
        <v>956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3855.7083447098976</v>
      </c>
      <c r="I318" s="18">
        <v>0</v>
      </c>
      <c r="J318" s="18">
        <v>0</v>
      </c>
      <c r="K318" s="18">
        <v>0</v>
      </c>
      <c r="L318" s="19">
        <f>SUM(F318:K318)</f>
        <v>3855.7083447098976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176800.21680318547</v>
      </c>
      <c r="G320" s="42">
        <f t="shared" si="17"/>
        <v>4142.2056257110353</v>
      </c>
      <c r="H320" s="42">
        <f t="shared" si="17"/>
        <v>177315.47027872581</v>
      </c>
      <c r="I320" s="42">
        <f t="shared" si="17"/>
        <v>34903.720182025027</v>
      </c>
      <c r="J320" s="42">
        <f t="shared" si="17"/>
        <v>83894.326166097831</v>
      </c>
      <c r="K320" s="42">
        <f t="shared" si="17"/>
        <v>12669.113282138795</v>
      </c>
      <c r="L320" s="41">
        <f t="shared" si="17"/>
        <v>489725.05233788397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694625.38000000012</v>
      </c>
      <c r="G330" s="41">
        <f t="shared" si="20"/>
        <v>141329.01999999999</v>
      </c>
      <c r="H330" s="41">
        <f t="shared" si="20"/>
        <v>388706</v>
      </c>
      <c r="I330" s="41">
        <f t="shared" si="20"/>
        <v>53341.36</v>
      </c>
      <c r="J330" s="41">
        <f t="shared" si="20"/>
        <v>140788.27000000002</v>
      </c>
      <c r="K330" s="41">
        <f t="shared" si="20"/>
        <v>37237.89</v>
      </c>
      <c r="L330" s="41">
        <f t="shared" si="20"/>
        <v>1456027.9200000002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694625.38000000012</v>
      </c>
      <c r="G344" s="41">
        <f>G330</f>
        <v>141329.01999999999</v>
      </c>
      <c r="H344" s="41">
        <f>H330</f>
        <v>388706</v>
      </c>
      <c r="I344" s="41">
        <f>I330</f>
        <v>53341.36</v>
      </c>
      <c r="J344" s="41">
        <f>J330</f>
        <v>140788.27000000002</v>
      </c>
      <c r="K344" s="47">
        <f>K330+K343</f>
        <v>37237.89</v>
      </c>
      <c r="L344" s="41">
        <f>L330+L343</f>
        <v>1456027.9200000002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366.80460750853246</v>
      </c>
      <c r="G350" s="18">
        <v>61.300255972696256</v>
      </c>
      <c r="H350" s="18">
        <v>235221.02724687147</v>
      </c>
      <c r="I350" s="18">
        <v>0</v>
      </c>
      <c r="J350" s="18">
        <v>610.43799772468719</v>
      </c>
      <c r="K350" s="18">
        <v>0</v>
      </c>
      <c r="L350" s="13">
        <f>SUM(F350:K350)</f>
        <v>236259.57010807737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313.08361774744031</v>
      </c>
      <c r="G351" s="18">
        <v>52.322423208191132</v>
      </c>
      <c r="H351" s="18">
        <v>200771.33349260525</v>
      </c>
      <c r="I351" s="18">
        <v>0</v>
      </c>
      <c r="J351" s="18">
        <v>521.03526734926061</v>
      </c>
      <c r="K351" s="18">
        <v>0</v>
      </c>
      <c r="L351" s="19">
        <f>SUM(F351:K351)</f>
        <v>201657.77480091015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335.61177474402734</v>
      </c>
      <c r="G352" s="18">
        <v>56.087320819112634</v>
      </c>
      <c r="H352" s="18">
        <v>215217.97926052334</v>
      </c>
      <c r="I352" s="18">
        <v>0</v>
      </c>
      <c r="J352" s="18">
        <v>558.52673492605231</v>
      </c>
      <c r="K352" s="18">
        <v>0</v>
      </c>
      <c r="L352" s="19">
        <f>SUM(F352:K352)</f>
        <v>216168.20509101253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1015.5000000000001</v>
      </c>
      <c r="G354" s="47">
        <f t="shared" si="22"/>
        <v>169.71000000000004</v>
      </c>
      <c r="H354" s="47">
        <f t="shared" si="22"/>
        <v>651210.34000000008</v>
      </c>
      <c r="I354" s="47">
        <f t="shared" si="22"/>
        <v>0</v>
      </c>
      <c r="J354" s="47">
        <f t="shared" si="22"/>
        <v>1690.0000000000002</v>
      </c>
      <c r="K354" s="47">
        <f t="shared" si="22"/>
        <v>0</v>
      </c>
      <c r="L354" s="47">
        <f t="shared" si="22"/>
        <v>654085.55000000005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>
        <v>0</v>
      </c>
      <c r="H359" s="18">
        <v>0</v>
      </c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0</v>
      </c>
      <c r="G360" s="63">
        <v>0</v>
      </c>
      <c r="H360" s="63">
        <v>0</v>
      </c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11880</v>
      </c>
      <c r="G372" s="18">
        <v>1997.01</v>
      </c>
      <c r="H372" s="18">
        <v>2593664.2599999998</v>
      </c>
      <c r="I372" s="18">
        <v>0</v>
      </c>
      <c r="J372" s="18">
        <v>0</v>
      </c>
      <c r="K372" s="18">
        <v>0</v>
      </c>
      <c r="L372" s="13">
        <f t="shared" si="23"/>
        <v>2607541.2699999996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11880</v>
      </c>
      <c r="G374" s="139">
        <f t="shared" ref="G374:L374" si="24">SUM(G366:G373)</f>
        <v>1997.01</v>
      </c>
      <c r="H374" s="139">
        <f t="shared" si="24"/>
        <v>2593664.2599999998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2607541.2699999996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30079</v>
      </c>
      <c r="J392" s="24" t="s">
        <v>312</v>
      </c>
      <c r="K392" s="24" t="s">
        <v>312</v>
      </c>
      <c r="L392" s="56">
        <f t="shared" si="26"/>
        <v>30079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30079</v>
      </c>
      <c r="J393" s="45" t="s">
        <v>312</v>
      </c>
      <c r="K393" s="45" t="s">
        <v>312</v>
      </c>
      <c r="L393" s="47">
        <f>SUM(L387:L392)</f>
        <v>30079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30079</v>
      </c>
      <c r="J400" s="24" t="s">
        <v>312</v>
      </c>
      <c r="K400" s="24" t="s">
        <v>312</v>
      </c>
      <c r="L400" s="47">
        <f>L385+L393+L399</f>
        <v>30079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19431.900000000001</v>
      </c>
      <c r="G418" s="18">
        <v>1020.09</v>
      </c>
      <c r="H418" s="18">
        <v>-2361</v>
      </c>
      <c r="I418" s="18">
        <v>2988.64</v>
      </c>
      <c r="J418" s="18">
        <v>0</v>
      </c>
      <c r="K418" s="18">
        <v>0</v>
      </c>
      <c r="L418" s="56">
        <f t="shared" si="29"/>
        <v>21079.63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19431.900000000001</v>
      </c>
      <c r="G419" s="47">
        <f t="shared" si="30"/>
        <v>1020.09</v>
      </c>
      <c r="H419" s="47">
        <f t="shared" si="30"/>
        <v>-2361</v>
      </c>
      <c r="I419" s="47">
        <f t="shared" si="30"/>
        <v>2988.64</v>
      </c>
      <c r="J419" s="47">
        <f t="shared" si="30"/>
        <v>0</v>
      </c>
      <c r="K419" s="47">
        <f t="shared" si="30"/>
        <v>0</v>
      </c>
      <c r="L419" s="47">
        <f t="shared" si="30"/>
        <v>21079.63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19431.900000000001</v>
      </c>
      <c r="G426" s="47">
        <f t="shared" si="32"/>
        <v>1020.09</v>
      </c>
      <c r="H426" s="47">
        <f t="shared" si="32"/>
        <v>-2361</v>
      </c>
      <c r="I426" s="47">
        <f t="shared" si="32"/>
        <v>2988.64</v>
      </c>
      <c r="J426" s="47">
        <f t="shared" si="32"/>
        <v>0</v>
      </c>
      <c r="K426" s="47">
        <f t="shared" si="32"/>
        <v>0</v>
      </c>
      <c r="L426" s="47">
        <f t="shared" si="32"/>
        <v>21079.63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18825.03</v>
      </c>
      <c r="I431" s="56">
        <f t="shared" ref="I431:I437" si="33">SUM(F431:H431)</f>
        <v>18825.03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0</v>
      </c>
      <c r="G432" s="18">
        <v>0</v>
      </c>
      <c r="H432" s="18">
        <v>0</v>
      </c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17938.310000000001</v>
      </c>
      <c r="I433" s="56">
        <f t="shared" si="33"/>
        <v>17938.310000000001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36763.339999999997</v>
      </c>
      <c r="I438" s="13">
        <f>SUM(I431:I437)</f>
        <v>36763.339999999997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1242.17</v>
      </c>
      <c r="I440" s="56">
        <f>SUM(F440:H440)</f>
        <v>1242.17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1242.17</v>
      </c>
      <c r="I444" s="72">
        <f>SUM(I440:I443)</f>
        <v>1242.17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0</v>
      </c>
      <c r="G449" s="18">
        <v>0</v>
      </c>
      <c r="H449" s="18">
        <v>35521.17</v>
      </c>
      <c r="I449" s="56">
        <f>SUM(F449:H449)</f>
        <v>35521.17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35521.17</v>
      </c>
      <c r="I450" s="83">
        <f>SUM(I446:I449)</f>
        <v>35521.17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36763.339999999997</v>
      </c>
      <c r="I451" s="42">
        <f>I444+I450</f>
        <v>36763.339999999997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0</v>
      </c>
      <c r="G455" s="18">
        <v>-112030.39</v>
      </c>
      <c r="H455" s="18">
        <v>39657.24</v>
      </c>
      <c r="I455" s="18">
        <v>2607541.27</v>
      </c>
      <c r="J455" s="18">
        <v>26521.8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21679029.560000002</v>
      </c>
      <c r="G458" s="18">
        <v>660639.39</v>
      </c>
      <c r="H458" s="18">
        <v>1405818.67</v>
      </c>
      <c r="I458" s="18">
        <v>0</v>
      </c>
      <c r="J458" s="18">
        <v>30079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0</v>
      </c>
      <c r="G459" s="18">
        <v>0</v>
      </c>
      <c r="H459" s="18">
        <v>0</v>
      </c>
      <c r="I459" s="18">
        <v>1794362.91</v>
      </c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21679029.560000002</v>
      </c>
      <c r="G460" s="53">
        <f>SUM(G458:G459)</f>
        <v>660639.39</v>
      </c>
      <c r="H460" s="53">
        <f>SUM(H458:H459)</f>
        <v>1405818.67</v>
      </c>
      <c r="I460" s="53">
        <f>SUM(I458:I459)</f>
        <v>1794362.91</v>
      </c>
      <c r="J460" s="53">
        <f>SUM(J458:J459)</f>
        <v>30079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21679029.560000002</v>
      </c>
      <c r="G462" s="18">
        <v>654085.55000000005</v>
      </c>
      <c r="H462" s="18">
        <v>1456027.92</v>
      </c>
      <c r="I462" s="18">
        <v>2607541.27</v>
      </c>
      <c r="J462" s="18">
        <v>21079.63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21679029.560000002</v>
      </c>
      <c r="G464" s="53">
        <f>SUM(G462:G463)</f>
        <v>654085.55000000005</v>
      </c>
      <c r="H464" s="53">
        <f>SUM(H462:H463)</f>
        <v>1456027.92</v>
      </c>
      <c r="I464" s="53">
        <f>SUM(I462:I463)</f>
        <v>2607541.27</v>
      </c>
      <c r="J464" s="53">
        <f>SUM(J462:J463)</f>
        <v>21079.63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-105476.55000000005</v>
      </c>
      <c r="H466" s="53">
        <f>(H455+H460)- H464</f>
        <v>-10552.010000000009</v>
      </c>
      <c r="I466" s="53">
        <f>(I455+I460)- I464</f>
        <v>1794362.9099999997</v>
      </c>
      <c r="J466" s="53">
        <f>(J455+J460)- J464</f>
        <v>35521.17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0</v>
      </c>
      <c r="G480" s="154">
        <v>1</v>
      </c>
      <c r="H480" s="154">
        <v>2</v>
      </c>
      <c r="I480" s="154">
        <v>3</v>
      </c>
      <c r="J480" s="154">
        <v>4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2000000</v>
      </c>
      <c r="G483" s="18">
        <v>5300000</v>
      </c>
      <c r="H483" s="18">
        <v>310000</v>
      </c>
      <c r="I483" s="18">
        <v>1338545</v>
      </c>
      <c r="J483" s="18">
        <v>18953000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4.4000000000000004</v>
      </c>
      <c r="G484" s="18">
        <v>5.63</v>
      </c>
      <c r="H484" s="18">
        <v>5.2</v>
      </c>
      <c r="I484" s="18">
        <v>3.68</v>
      </c>
      <c r="J484" s="18">
        <v>3.73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260000</v>
      </c>
      <c r="G485" s="18">
        <v>2120000</v>
      </c>
      <c r="H485" s="18">
        <v>165000</v>
      </c>
      <c r="I485" s="18">
        <v>1338545</v>
      </c>
      <c r="J485" s="18">
        <v>0</v>
      </c>
      <c r="K485" s="53">
        <f>SUM(F485:J485)</f>
        <v>3883545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130000</v>
      </c>
      <c r="G487" s="18">
        <v>265000</v>
      </c>
      <c r="H487" s="18">
        <v>15000</v>
      </c>
      <c r="I487" s="18">
        <v>133545</v>
      </c>
      <c r="J487" s="18">
        <v>0</v>
      </c>
      <c r="K487" s="53">
        <f t="shared" si="34"/>
        <v>543545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130000</v>
      </c>
      <c r="G488" s="205">
        <v>1855000</v>
      </c>
      <c r="H488" s="205">
        <v>150000</v>
      </c>
      <c r="I488" s="205">
        <v>1205000</v>
      </c>
      <c r="J488" s="205">
        <v>18953000</v>
      </c>
      <c r="K488" s="206">
        <f t="shared" si="34"/>
        <v>22293000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0</v>
      </c>
      <c r="H489" s="18">
        <v>0</v>
      </c>
      <c r="I489" s="18">
        <v>0</v>
      </c>
      <c r="J489" s="18">
        <v>0</v>
      </c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130000</v>
      </c>
      <c r="G490" s="42">
        <f>SUM(G488:G489)</f>
        <v>1855000</v>
      </c>
      <c r="H490" s="42">
        <f>SUM(H488:H489)</f>
        <v>150000</v>
      </c>
      <c r="I490" s="42">
        <f>SUM(I488:I489)</f>
        <v>1205000</v>
      </c>
      <c r="J490" s="42">
        <f>SUM(J488:J489)</f>
        <v>18953000</v>
      </c>
      <c r="K490" s="42">
        <f t="shared" si="34"/>
        <v>22293000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265000</v>
      </c>
      <c r="H491" s="205">
        <v>15000</v>
      </c>
      <c r="I491" s="205">
        <v>135000</v>
      </c>
      <c r="J491" s="205">
        <v>1378284.66</v>
      </c>
      <c r="K491" s="206">
        <f t="shared" si="34"/>
        <v>1793284.66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99044</v>
      </c>
      <c r="H492" s="18">
        <v>7481</v>
      </c>
      <c r="I492" s="18">
        <v>58200</v>
      </c>
      <c r="J492" s="18">
        <v>53906.93</v>
      </c>
      <c r="K492" s="53">
        <f t="shared" si="34"/>
        <v>218631.93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364044</v>
      </c>
      <c r="H493" s="42">
        <f>SUM(H491:H492)</f>
        <v>22481</v>
      </c>
      <c r="I493" s="42">
        <f>SUM(I491:I492)</f>
        <v>193200</v>
      </c>
      <c r="J493" s="42">
        <f>SUM(J491:J492)</f>
        <v>1432191.5899999999</v>
      </c>
      <c r="K493" s="42">
        <f t="shared" si="34"/>
        <v>2011916.5899999999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0</v>
      </c>
      <c r="G501" s="24" t="s">
        <v>312</v>
      </c>
      <c r="H501" s="18">
        <v>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0</v>
      </c>
      <c r="G502" s="24" t="s">
        <v>312</v>
      </c>
      <c r="H502" s="18">
        <v>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0</v>
      </c>
      <c r="G503" s="24" t="s">
        <v>312</v>
      </c>
      <c r="H503" s="18">
        <v>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0</v>
      </c>
      <c r="G504" s="24" t="s">
        <v>312</v>
      </c>
      <c r="H504" s="18">
        <v>0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0</v>
      </c>
      <c r="G505" s="24" t="s">
        <v>312</v>
      </c>
      <c r="H505" s="18">
        <v>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v>0</v>
      </c>
      <c r="H506" s="24" t="s">
        <v>312</v>
      </c>
      <c r="I506" s="18">
        <v>0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1088092.3161767204</v>
      </c>
      <c r="G511" s="18">
        <v>598192.71963828581</v>
      </c>
      <c r="H511" s="18">
        <v>292973.99482753128</v>
      </c>
      <c r="I511" s="18">
        <v>24973.347238742565</v>
      </c>
      <c r="J511" s="18">
        <v>707.31</v>
      </c>
      <c r="K511" s="18">
        <v>0</v>
      </c>
      <c r="L511" s="88">
        <f>SUM(F511:K511)</f>
        <v>2004939.68788128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734484.57382327947</v>
      </c>
      <c r="G512" s="18">
        <v>439141.5496024423</v>
      </c>
      <c r="H512" s="18">
        <v>625623.86986507406</v>
      </c>
      <c r="I512" s="18">
        <v>13394.882761257435</v>
      </c>
      <c r="J512" s="18">
        <v>1364.1</v>
      </c>
      <c r="K512" s="18">
        <v>0</v>
      </c>
      <c r="L512" s="88">
        <f>SUM(F512:K512)</f>
        <v>1814008.9760520533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618309.5</v>
      </c>
      <c r="G513" s="18">
        <v>341933.2507592719</v>
      </c>
      <c r="H513" s="18">
        <v>870102.07530739484</v>
      </c>
      <c r="I513" s="18">
        <v>8204.17</v>
      </c>
      <c r="J513" s="18">
        <v>0</v>
      </c>
      <c r="K513" s="18">
        <v>0</v>
      </c>
      <c r="L513" s="88">
        <f>SUM(F513:K513)</f>
        <v>1838548.9960666667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2440886.3899999997</v>
      </c>
      <c r="G514" s="108">
        <f t="shared" ref="G514:L514" si="35">SUM(G511:G513)</f>
        <v>1379267.52</v>
      </c>
      <c r="H514" s="108">
        <f t="shared" si="35"/>
        <v>1788699.9400000002</v>
      </c>
      <c r="I514" s="108">
        <f t="shared" si="35"/>
        <v>46572.399999999994</v>
      </c>
      <c r="J514" s="108">
        <f t="shared" si="35"/>
        <v>2071.41</v>
      </c>
      <c r="K514" s="108">
        <f t="shared" si="35"/>
        <v>0</v>
      </c>
      <c r="L514" s="89">
        <f t="shared" si="35"/>
        <v>5657497.6600000001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130116.18</v>
      </c>
      <c r="G516" s="18">
        <v>49229.06</v>
      </c>
      <c r="H516" s="18">
        <v>5853.73</v>
      </c>
      <c r="I516" s="18">
        <v>1692.15</v>
      </c>
      <c r="J516" s="18">
        <v>0</v>
      </c>
      <c r="K516" s="18">
        <v>4866.3395999999993</v>
      </c>
      <c r="L516" s="88">
        <f>SUM(F516:K516)</f>
        <v>191757.4596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115289.92</v>
      </c>
      <c r="G517" s="18">
        <v>42115.86</v>
      </c>
      <c r="H517" s="18">
        <v>0</v>
      </c>
      <c r="I517" s="18">
        <v>477.49</v>
      </c>
      <c r="J517" s="18">
        <v>0</v>
      </c>
      <c r="K517" s="18">
        <v>4190.4591</v>
      </c>
      <c r="L517" s="88">
        <f>SUM(F517:K517)</f>
        <v>162073.7291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6500</v>
      </c>
      <c r="G518" s="18">
        <v>0</v>
      </c>
      <c r="H518" s="18">
        <v>1200</v>
      </c>
      <c r="I518" s="18">
        <v>662.59</v>
      </c>
      <c r="J518" s="18">
        <v>0</v>
      </c>
      <c r="K518" s="18">
        <v>4460.8112999999994</v>
      </c>
      <c r="L518" s="88">
        <f>SUM(F518:K518)</f>
        <v>12823.4013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251906.09999999998</v>
      </c>
      <c r="G519" s="89">
        <f t="shared" ref="G519:L519" si="36">SUM(G516:G518)</f>
        <v>91344.92</v>
      </c>
      <c r="H519" s="89">
        <f t="shared" si="36"/>
        <v>7053.73</v>
      </c>
      <c r="I519" s="89">
        <f t="shared" si="36"/>
        <v>2832.2300000000005</v>
      </c>
      <c r="J519" s="89">
        <f t="shared" si="36"/>
        <v>0</v>
      </c>
      <c r="K519" s="89">
        <f t="shared" si="36"/>
        <v>13517.609999999999</v>
      </c>
      <c r="L519" s="89">
        <f t="shared" si="36"/>
        <v>366654.59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46727.405249727832</v>
      </c>
      <c r="G521" s="18">
        <v>21024.093963707444</v>
      </c>
      <c r="H521" s="18">
        <v>0</v>
      </c>
      <c r="I521" s="18">
        <v>93.48</v>
      </c>
      <c r="J521" s="18">
        <v>0</v>
      </c>
      <c r="K521" s="18">
        <v>0</v>
      </c>
      <c r="L521" s="88">
        <f>SUM(F521:K521)</f>
        <v>67844.979213435276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37967.893020598967</v>
      </c>
      <c r="G522" s="18">
        <v>15772.342968748078</v>
      </c>
      <c r="H522" s="18">
        <v>0</v>
      </c>
      <c r="I522" s="18">
        <v>152.708</v>
      </c>
      <c r="J522" s="18">
        <v>0</v>
      </c>
      <c r="K522" s="18">
        <v>0</v>
      </c>
      <c r="L522" s="88">
        <f>SUM(F522:K522)</f>
        <v>53892.943989347041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38693.182312250508</v>
      </c>
      <c r="G523" s="18">
        <v>18049.722966731828</v>
      </c>
      <c r="H523" s="18">
        <v>0</v>
      </c>
      <c r="I523" s="18">
        <v>214.13900000000001</v>
      </c>
      <c r="J523" s="18">
        <v>0</v>
      </c>
      <c r="K523" s="18">
        <v>0</v>
      </c>
      <c r="L523" s="88">
        <f>SUM(F523:K523)</f>
        <v>56957.044278982336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123388.48058257732</v>
      </c>
      <c r="G524" s="89">
        <f t="shared" ref="G524:L524" si="37">SUM(G521:G523)</f>
        <v>54846.159899187347</v>
      </c>
      <c r="H524" s="89">
        <f t="shared" si="37"/>
        <v>0</v>
      </c>
      <c r="I524" s="89">
        <f t="shared" si="37"/>
        <v>460.327</v>
      </c>
      <c r="J524" s="89">
        <f t="shared" si="37"/>
        <v>0</v>
      </c>
      <c r="K524" s="89">
        <f t="shared" si="37"/>
        <v>0</v>
      </c>
      <c r="L524" s="89">
        <f t="shared" si="37"/>
        <v>178694.96748176464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0</v>
      </c>
      <c r="G531" s="18">
        <v>0</v>
      </c>
      <c r="H531" s="18">
        <v>167073.59520000001</v>
      </c>
      <c r="I531" s="18">
        <v>0</v>
      </c>
      <c r="J531" s="18">
        <v>0</v>
      </c>
      <c r="K531" s="18">
        <v>0</v>
      </c>
      <c r="L531" s="88">
        <f>SUM(F531:K531)</f>
        <v>167073.59520000001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0</v>
      </c>
      <c r="G532" s="18">
        <v>0</v>
      </c>
      <c r="H532" s="18">
        <v>143868.92920000001</v>
      </c>
      <c r="I532" s="18">
        <v>0</v>
      </c>
      <c r="J532" s="18">
        <v>0</v>
      </c>
      <c r="K532" s="18">
        <v>0</v>
      </c>
      <c r="L532" s="88">
        <f>SUM(F532:K532)</f>
        <v>143868.92920000001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0</v>
      </c>
      <c r="G533" s="18">
        <v>0</v>
      </c>
      <c r="H533" s="18">
        <v>153150.79560000001</v>
      </c>
      <c r="I533" s="18">
        <v>0</v>
      </c>
      <c r="J533" s="18">
        <v>0</v>
      </c>
      <c r="K533" s="18">
        <v>0</v>
      </c>
      <c r="L533" s="88">
        <f>SUM(F533:K533)</f>
        <v>153150.79560000001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464093.32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464093.32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2816180.9705825769</v>
      </c>
      <c r="G535" s="89">
        <f t="shared" ref="G535:L535" si="40">G514+G519+G524+G529+G534</f>
        <v>1525458.5998991872</v>
      </c>
      <c r="H535" s="89">
        <f t="shared" si="40"/>
        <v>2259846.9900000002</v>
      </c>
      <c r="I535" s="89">
        <f t="shared" si="40"/>
        <v>49864.956999999995</v>
      </c>
      <c r="J535" s="89">
        <f t="shared" si="40"/>
        <v>2071.41</v>
      </c>
      <c r="K535" s="89">
        <f t="shared" si="40"/>
        <v>13517.609999999999</v>
      </c>
      <c r="L535" s="89">
        <f t="shared" si="40"/>
        <v>6666940.5374817653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2004939.68788128</v>
      </c>
      <c r="G539" s="87">
        <f>L516</f>
        <v>191757.4596</v>
      </c>
      <c r="H539" s="87">
        <f>L521</f>
        <v>67844.979213435276</v>
      </c>
      <c r="I539" s="87">
        <f>L526</f>
        <v>0</v>
      </c>
      <c r="J539" s="87">
        <f>L531</f>
        <v>167073.59520000001</v>
      </c>
      <c r="K539" s="87">
        <f>SUM(F539:J539)</f>
        <v>2431615.721894715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1814008.9760520533</v>
      </c>
      <c r="G540" s="87">
        <f>L517</f>
        <v>162073.7291</v>
      </c>
      <c r="H540" s="87">
        <f>L522</f>
        <v>53892.943989347041</v>
      </c>
      <c r="I540" s="87">
        <f>L527</f>
        <v>0</v>
      </c>
      <c r="J540" s="87">
        <f>L532</f>
        <v>143868.92920000001</v>
      </c>
      <c r="K540" s="87">
        <f>SUM(F540:J540)</f>
        <v>2173844.5783414003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1838548.9960666667</v>
      </c>
      <c r="G541" s="87">
        <f>L518</f>
        <v>12823.4013</v>
      </c>
      <c r="H541" s="87">
        <f>L523</f>
        <v>56957.044278982336</v>
      </c>
      <c r="I541" s="87">
        <f>L528</f>
        <v>0</v>
      </c>
      <c r="J541" s="87">
        <f>L533</f>
        <v>153150.79560000001</v>
      </c>
      <c r="K541" s="87">
        <f>SUM(F541:J541)</f>
        <v>2061480.2372456491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5657497.6600000001</v>
      </c>
      <c r="G542" s="89">
        <f t="shared" si="41"/>
        <v>366654.59</v>
      </c>
      <c r="H542" s="89">
        <f t="shared" si="41"/>
        <v>178694.96748176464</v>
      </c>
      <c r="I542" s="89">
        <f t="shared" si="41"/>
        <v>0</v>
      </c>
      <c r="J542" s="89">
        <f t="shared" si="41"/>
        <v>464093.32</v>
      </c>
      <c r="K542" s="89">
        <f t="shared" si="41"/>
        <v>6666940.5374817643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311574.12617672043</v>
      </c>
      <c r="G547" s="18">
        <v>127557.48443828576</v>
      </c>
      <c r="H547" s="18">
        <v>71300.985227531273</v>
      </c>
      <c r="I547" s="18">
        <v>9343.1072387425647</v>
      </c>
      <c r="J547" s="18">
        <v>0</v>
      </c>
      <c r="K547" s="18">
        <v>0</v>
      </c>
      <c r="L547" s="88">
        <f>SUM(F547:K547)</f>
        <v>519775.70308128005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5270.6138232795238</v>
      </c>
      <c r="G548" s="18">
        <v>640.69040244233668</v>
      </c>
      <c r="H548" s="18">
        <v>-209.73673492605232</v>
      </c>
      <c r="I548" s="18">
        <v>3508.2027612574338</v>
      </c>
      <c r="J548" s="18">
        <v>0</v>
      </c>
      <c r="K548" s="18">
        <v>0</v>
      </c>
      <c r="L548" s="88">
        <f>SUM(F548:K548)</f>
        <v>9209.7702520532421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70137.02</v>
      </c>
      <c r="G549" s="18">
        <v>2245.13</v>
      </c>
      <c r="H549" s="18">
        <v>119708.11</v>
      </c>
      <c r="I549" s="18">
        <v>30250.959999999999</v>
      </c>
      <c r="J549" s="18">
        <v>50337.59</v>
      </c>
      <c r="K549" s="18">
        <v>0</v>
      </c>
      <c r="L549" s="88">
        <f>SUM(F549:K549)</f>
        <v>272678.81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386981.75999999995</v>
      </c>
      <c r="G550" s="108">
        <f t="shared" si="42"/>
        <v>130443.3048407281</v>
      </c>
      <c r="H550" s="108">
        <f t="shared" si="42"/>
        <v>190799.35849260521</v>
      </c>
      <c r="I550" s="108">
        <f t="shared" si="42"/>
        <v>43102.27</v>
      </c>
      <c r="J550" s="108">
        <f t="shared" si="42"/>
        <v>50337.59</v>
      </c>
      <c r="K550" s="108">
        <f t="shared" si="42"/>
        <v>0</v>
      </c>
      <c r="L550" s="89">
        <f t="shared" si="42"/>
        <v>801664.28333333321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38938.879999999997</v>
      </c>
      <c r="G552" s="18">
        <v>13201.65</v>
      </c>
      <c r="H552" s="18">
        <v>0</v>
      </c>
      <c r="I552" s="18">
        <v>340.58</v>
      </c>
      <c r="J552" s="18">
        <v>0</v>
      </c>
      <c r="K552" s="18">
        <v>0</v>
      </c>
      <c r="L552" s="88">
        <f>SUM(F552:K552)</f>
        <v>52481.11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33540</v>
      </c>
      <c r="G553" s="18">
        <v>5684.37</v>
      </c>
      <c r="H553" s="18">
        <v>0</v>
      </c>
      <c r="I553" s="18">
        <v>95.31</v>
      </c>
      <c r="J553" s="18">
        <v>0</v>
      </c>
      <c r="K553" s="18">
        <v>0</v>
      </c>
      <c r="L553" s="88">
        <f>SUM(F553:K553)</f>
        <v>39319.68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43646.52</v>
      </c>
      <c r="G554" s="18">
        <v>21063.09</v>
      </c>
      <c r="H554" s="18">
        <v>0</v>
      </c>
      <c r="I554" s="18">
        <v>995</v>
      </c>
      <c r="J554" s="18">
        <v>0</v>
      </c>
      <c r="K554" s="18">
        <v>0</v>
      </c>
      <c r="L554" s="88">
        <f>SUM(F554:K554)</f>
        <v>65704.61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116125.4</v>
      </c>
      <c r="G555" s="89">
        <f t="shared" si="43"/>
        <v>39949.11</v>
      </c>
      <c r="H555" s="89">
        <f t="shared" si="43"/>
        <v>0</v>
      </c>
      <c r="I555" s="89">
        <f t="shared" si="43"/>
        <v>1430.8899999999999</v>
      </c>
      <c r="J555" s="89">
        <f t="shared" si="43"/>
        <v>0</v>
      </c>
      <c r="K555" s="89">
        <f t="shared" si="43"/>
        <v>0</v>
      </c>
      <c r="L555" s="89">
        <f t="shared" si="43"/>
        <v>157505.40000000002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0</v>
      </c>
      <c r="G557" s="18">
        <v>0</v>
      </c>
      <c r="H557" s="18">
        <v>6321.5</v>
      </c>
      <c r="I557" s="18">
        <v>1244.8399999999999</v>
      </c>
      <c r="J557" s="18">
        <v>0</v>
      </c>
      <c r="K557" s="18">
        <v>0</v>
      </c>
      <c r="L557" s="88">
        <f>SUM(F557:K557)</f>
        <v>7566.34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0</v>
      </c>
      <c r="G558" s="18">
        <v>0</v>
      </c>
      <c r="H558" s="18">
        <v>4563.5</v>
      </c>
      <c r="I558" s="18">
        <v>1138.29</v>
      </c>
      <c r="J558" s="18">
        <v>0</v>
      </c>
      <c r="K558" s="18">
        <v>0</v>
      </c>
      <c r="L558" s="88">
        <f>SUM(F558:K558)</f>
        <v>5701.79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10885</v>
      </c>
      <c r="I560" s="194">
        <f t="shared" si="44"/>
        <v>2383.13</v>
      </c>
      <c r="J560" s="194">
        <f t="shared" si="44"/>
        <v>0</v>
      </c>
      <c r="K560" s="194">
        <f t="shared" si="44"/>
        <v>0</v>
      </c>
      <c r="L560" s="194">
        <f t="shared" si="44"/>
        <v>13268.130000000001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503107.15999999992</v>
      </c>
      <c r="G561" s="89">
        <f t="shared" ref="G561:L561" si="45">G550+G555+G560</f>
        <v>170392.4148407281</v>
      </c>
      <c r="H561" s="89">
        <f t="shared" si="45"/>
        <v>201684.35849260521</v>
      </c>
      <c r="I561" s="89">
        <f t="shared" si="45"/>
        <v>46916.289999999994</v>
      </c>
      <c r="J561" s="89">
        <f t="shared" si="45"/>
        <v>50337.59</v>
      </c>
      <c r="K561" s="89">
        <f t="shared" si="45"/>
        <v>0</v>
      </c>
      <c r="L561" s="89">
        <f t="shared" si="45"/>
        <v>972437.81333333324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>
        <v>0</v>
      </c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211358.5972923777</v>
      </c>
      <c r="G572" s="18">
        <v>617655.93814562005</v>
      </c>
      <c r="H572" s="18">
        <v>866625.09</v>
      </c>
      <c r="I572" s="87">
        <f t="shared" si="46"/>
        <v>1695639.6254379977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11676.08</v>
      </c>
      <c r="I574" s="87">
        <f t="shared" si="46"/>
        <v>11676.08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119824.1748805461</v>
      </c>
      <c r="I581" s="18">
        <v>101976.91153583619</v>
      </c>
      <c r="J581" s="18">
        <v>109314.73358361775</v>
      </c>
      <c r="K581" s="104">
        <f t="shared" ref="K581:K587" si="47">SUM(H581:J581)</f>
        <v>331115.82000000007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173178.00267349262</v>
      </c>
      <c r="I582" s="18">
        <v>143082.24086461889</v>
      </c>
      <c r="J582" s="18">
        <v>153377.82646188853</v>
      </c>
      <c r="K582" s="104">
        <f t="shared" si="47"/>
        <v>469638.07000000007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36900</v>
      </c>
      <c r="K583" s="104">
        <f t="shared" si="47"/>
        <v>36900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4019.45</v>
      </c>
      <c r="J584" s="18">
        <v>31995.29</v>
      </c>
      <c r="K584" s="104">
        <f t="shared" si="47"/>
        <v>36014.74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0</v>
      </c>
      <c r="I585" s="18">
        <v>0</v>
      </c>
      <c r="J585" s="18">
        <v>451.03</v>
      </c>
      <c r="K585" s="104">
        <f t="shared" si="47"/>
        <v>451.03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293002.1775540387</v>
      </c>
      <c r="I588" s="108">
        <f>SUM(I581:I587)</f>
        <v>249078.6024004551</v>
      </c>
      <c r="J588" s="108">
        <f>SUM(J581:J587)</f>
        <v>332038.88004550629</v>
      </c>
      <c r="K588" s="108">
        <f>SUM(K581:K587)</f>
        <v>874119.66000000015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72431.113572241185</v>
      </c>
      <c r="I594" s="18">
        <v>44985.620261660981</v>
      </c>
      <c r="J594" s="18">
        <v>122175.15616609783</v>
      </c>
      <c r="K594" s="104">
        <f>SUM(H594:J594)</f>
        <v>239591.89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72431.113572241185</v>
      </c>
      <c r="I595" s="108">
        <f>SUM(I592:I594)</f>
        <v>44985.620261660981</v>
      </c>
      <c r="J595" s="108">
        <f>SUM(J592:J594)</f>
        <v>122175.15616609783</v>
      </c>
      <c r="K595" s="108">
        <f>SUM(K592:K594)</f>
        <v>239591.89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18">
        <v>0</v>
      </c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739468.05999999994</v>
      </c>
      <c r="H607" s="109">
        <f>SUM(F44)</f>
        <v>739468.06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27360.86</v>
      </c>
      <c r="H608" s="109">
        <f>SUM(G44)</f>
        <v>27360.86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127058.74</v>
      </c>
      <c r="H609" s="109">
        <f>SUM(H44)</f>
        <v>127058.74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2607541.27</v>
      </c>
      <c r="H610" s="109">
        <f>SUM(I44)</f>
        <v>2607541.27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36763.339999999997</v>
      </c>
      <c r="H611" s="109">
        <f>SUM(J44)</f>
        <v>36763.339999999997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-105476.55</v>
      </c>
      <c r="H613" s="109">
        <f>G466</f>
        <v>-105476.55000000005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-10552.01</v>
      </c>
      <c r="H614" s="109">
        <f>H466</f>
        <v>-10552.010000000009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1794362.91</v>
      </c>
      <c r="H615" s="109">
        <f>I466</f>
        <v>1794362.9099999997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35521.17</v>
      </c>
      <c r="H616" s="109">
        <f>J466</f>
        <v>35521.17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21679029.560000002</v>
      </c>
      <c r="H617" s="104">
        <f>SUM(F458)</f>
        <v>21679029.560000002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660639.3899999999</v>
      </c>
      <c r="H618" s="104">
        <f>SUM(G458)</f>
        <v>660639.39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1405818.67</v>
      </c>
      <c r="H619" s="104">
        <f>SUM(H458)</f>
        <v>1405818.67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30079</v>
      </c>
      <c r="H621" s="104">
        <f>SUM(J458)</f>
        <v>30079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21679029.560000002</v>
      </c>
      <c r="H622" s="104">
        <f>SUM(F462)</f>
        <v>21679029.560000002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1456027.9200000002</v>
      </c>
      <c r="H623" s="104">
        <f>SUM(H462)</f>
        <v>1456027.92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654085.55000000005</v>
      </c>
      <c r="H625" s="104">
        <f>SUM(G462)</f>
        <v>654085.55000000005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2607541.2699999996</v>
      </c>
      <c r="H626" s="104">
        <f>SUM(I462)</f>
        <v>2607541.27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30079</v>
      </c>
      <c r="H627" s="164">
        <f>SUM(J458)</f>
        <v>30079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21079.63</v>
      </c>
      <c r="H628" s="164">
        <f>SUM(J462)</f>
        <v>21079.63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36763.339999999997</v>
      </c>
      <c r="H631" s="104">
        <f>SUM(H451)</f>
        <v>36763.339999999997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36763.339999999997</v>
      </c>
      <c r="H632" s="104">
        <f>SUM(I451)</f>
        <v>36763.339999999997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30079</v>
      </c>
      <c r="H636" s="104">
        <f>L400</f>
        <v>30079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874119.66000000015</v>
      </c>
      <c r="H637" s="104">
        <f>L200+L218+L236</f>
        <v>874119.66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239591.89</v>
      </c>
      <c r="H638" s="104">
        <f>(J249+J330)-(J247+J328)</f>
        <v>239591.89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293002.1775540387</v>
      </c>
      <c r="H639" s="104">
        <f>H588</f>
        <v>293002.1775540387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249078.60240045507</v>
      </c>
      <c r="H640" s="104">
        <f>I588</f>
        <v>249078.6024004551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332038.88004550629</v>
      </c>
      <c r="H641" s="104">
        <f>J588</f>
        <v>332038.88004550629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7776898.7866669418</v>
      </c>
      <c r="G650" s="19">
        <f>(L221+L301+L351)</f>
        <v>6998572.8736117836</v>
      </c>
      <c r="H650" s="19">
        <f>(L239+L320+L352)</f>
        <v>8259347.7297212761</v>
      </c>
      <c r="I650" s="19">
        <f>SUM(F650:H650)</f>
        <v>23034819.390000001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120726.50702502843</v>
      </c>
      <c r="G651" s="19">
        <f>(L351/IF(SUM(L350:L352)=0,1,SUM(L350:L352))*(SUM(G89:G102)))</f>
        <v>103045.30205915814</v>
      </c>
      <c r="H651" s="19">
        <f>(L352/IF(SUM(L350:L352)=0,1,SUM(L350:L352))*(SUM(G89:G102)))</f>
        <v>110460.00091581343</v>
      </c>
      <c r="I651" s="19">
        <f>SUM(F651:H651)</f>
        <v>334231.81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293002.1775540387</v>
      </c>
      <c r="G652" s="19">
        <f>(L218+L298)-(J218+J298)</f>
        <v>249078.60240045507</v>
      </c>
      <c r="H652" s="19">
        <f>(L236+L317)-(J236+J317)</f>
        <v>332038.88004550629</v>
      </c>
      <c r="I652" s="19">
        <f>SUM(F652:H652)</f>
        <v>874119.66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283789.71086461889</v>
      </c>
      <c r="G653" s="200">
        <f>SUM(G565:G577)+SUM(I592:I594)+L602</f>
        <v>662641.55840728106</v>
      </c>
      <c r="H653" s="200">
        <f>SUM(H565:H577)+SUM(J592:J594)+L603</f>
        <v>1000476.3261660978</v>
      </c>
      <c r="I653" s="19">
        <f>SUM(F653:H653)</f>
        <v>1946907.5954379977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7079380.3912232555</v>
      </c>
      <c r="G654" s="19">
        <f>G650-SUM(G651:G653)</f>
        <v>5983807.4107448896</v>
      </c>
      <c r="H654" s="19">
        <f>H650-SUM(H651:H653)</f>
        <v>6816372.5225938587</v>
      </c>
      <c r="I654" s="19">
        <f>I650-SUM(I651:I653)</f>
        <v>19879560.324562002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7">
        <v>573.71</v>
      </c>
      <c r="G655" s="248">
        <v>536.22</v>
      </c>
      <c r="H655" s="248">
        <v>566.63</v>
      </c>
      <c r="I655" s="19">
        <f>SUM(F655:H655)</f>
        <v>1676.56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12339.65</v>
      </c>
      <c r="G657" s="19">
        <f>ROUND(G654/G655,2)</f>
        <v>11159.24</v>
      </c>
      <c r="H657" s="19">
        <f>ROUND(H654/H655,2)</f>
        <v>12029.67</v>
      </c>
      <c r="I657" s="19">
        <f>ROUND(I654/I655,2)</f>
        <v>11857.35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13.4</v>
      </c>
      <c r="I660" s="19">
        <f>SUM(F660:H660)</f>
        <v>13.4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12339.65</v>
      </c>
      <c r="G662" s="19">
        <f>ROUND((G654+G659)/(G655+G660),2)</f>
        <v>11159.24</v>
      </c>
      <c r="H662" s="19">
        <f>ROUND((H654+H659)/(H655+H660),2)</f>
        <v>11751.76</v>
      </c>
      <c r="I662" s="19">
        <f>ROUND((I654+I659)/(I655+I660),2)</f>
        <v>11763.33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5CC9-FD5F-46F9-9A5D-01E180844AB0}">
  <sheetPr>
    <tabColor indexed="20"/>
  </sheetPr>
  <dimension ref="A1:C52"/>
  <sheetViews>
    <sheetView topLeftCell="A22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Somersworth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4980590.71</v>
      </c>
      <c r="C9" s="230">
        <f>'DOE25'!G189+'DOE25'!G207+'DOE25'!G225+'DOE25'!G268+'DOE25'!G287+'DOE25'!G306</f>
        <v>2342185.6799999997</v>
      </c>
    </row>
    <row r="10" spans="1:3" x14ac:dyDescent="0.2">
      <c r="A10" t="s">
        <v>813</v>
      </c>
      <c r="B10" s="270">
        <v>4362327.55</v>
      </c>
      <c r="C10" s="270">
        <v>1998196.01</v>
      </c>
    </row>
    <row r="11" spans="1:3" x14ac:dyDescent="0.2">
      <c r="A11" t="s">
        <v>814</v>
      </c>
      <c r="B11" s="270">
        <v>429168.73999999918</v>
      </c>
      <c r="C11" s="270">
        <v>328392.88</v>
      </c>
    </row>
    <row r="12" spans="1:3" x14ac:dyDescent="0.2">
      <c r="A12" t="s">
        <v>815</v>
      </c>
      <c r="B12" s="270">
        <v>189094.42</v>
      </c>
      <c r="C12" s="270">
        <v>15596.79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4980590.709999999</v>
      </c>
      <c r="C13" s="232">
        <f>SUM(C10:C12)</f>
        <v>2342185.6800000002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2440886.39</v>
      </c>
      <c r="C18" s="230">
        <f>'DOE25'!G190+'DOE25'!G208+'DOE25'!G226+'DOE25'!G269+'DOE25'!G288+'DOE25'!G307</f>
        <v>1379267.52</v>
      </c>
    </row>
    <row r="19" spans="1:3" x14ac:dyDescent="0.2">
      <c r="A19" t="s">
        <v>813</v>
      </c>
      <c r="B19" s="270">
        <v>1301362.23</v>
      </c>
      <c r="C19" s="270">
        <v>547650.68000000005</v>
      </c>
    </row>
    <row r="20" spans="1:3" x14ac:dyDescent="0.2">
      <c r="A20" t="s">
        <v>814</v>
      </c>
      <c r="B20" s="270">
        <v>1053099.96</v>
      </c>
      <c r="C20" s="270">
        <v>780452.28</v>
      </c>
    </row>
    <row r="21" spans="1:3" x14ac:dyDescent="0.2">
      <c r="A21" t="s">
        <v>815</v>
      </c>
      <c r="B21" s="270">
        <v>86424.2</v>
      </c>
      <c r="C21" s="270">
        <v>51164.56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2440886.39</v>
      </c>
      <c r="C22" s="232">
        <f>SUM(C19:C21)</f>
        <v>1379267.52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480172.47000000003</v>
      </c>
      <c r="C27" s="235">
        <f>'DOE25'!G191+'DOE25'!G209+'DOE25'!G227+'DOE25'!G270+'DOE25'!G289+'DOE25'!G308</f>
        <v>189205.99</v>
      </c>
    </row>
    <row r="28" spans="1:3" x14ac:dyDescent="0.2">
      <c r="A28" t="s">
        <v>813</v>
      </c>
      <c r="B28" s="270">
        <v>404717.04</v>
      </c>
      <c r="C28" s="270">
        <v>185512.07</v>
      </c>
    </row>
    <row r="29" spans="1:3" x14ac:dyDescent="0.2">
      <c r="A29" t="s">
        <v>814</v>
      </c>
      <c r="B29" s="270">
        <v>21929.430000000051</v>
      </c>
      <c r="C29" s="270">
        <v>3531.4199999999837</v>
      </c>
    </row>
    <row r="30" spans="1:3" x14ac:dyDescent="0.2">
      <c r="A30" t="s">
        <v>815</v>
      </c>
      <c r="B30" s="270">
        <v>53526</v>
      </c>
      <c r="C30" s="270">
        <v>162.5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480172.47000000003</v>
      </c>
      <c r="C31" s="232">
        <f>SUM(C28:C30)</f>
        <v>189205.99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108433</v>
      </c>
      <c r="C36" s="236">
        <f>'DOE25'!G192+'DOE25'!G210+'DOE25'!G228+'DOE25'!G271+'DOE25'!G290+'DOE25'!G309</f>
        <v>12905.16</v>
      </c>
    </row>
    <row r="37" spans="1:3" x14ac:dyDescent="0.2">
      <c r="A37" t="s">
        <v>813</v>
      </c>
      <c r="B37" s="270">
        <v>108433</v>
      </c>
      <c r="C37" s="270">
        <v>12905.16</v>
      </c>
    </row>
    <row r="38" spans="1:3" x14ac:dyDescent="0.2">
      <c r="A38" t="s">
        <v>814</v>
      </c>
      <c r="B38" s="270">
        <v>0</v>
      </c>
      <c r="C38" s="270">
        <v>0</v>
      </c>
    </row>
    <row r="39" spans="1:3" x14ac:dyDescent="0.2">
      <c r="A39" t="s">
        <v>815</v>
      </c>
      <c r="B39" s="270">
        <v>0</v>
      </c>
      <c r="C39" s="270">
        <v>0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108433</v>
      </c>
      <c r="C40" s="232">
        <f>SUM(C37:C39)</f>
        <v>12905.16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4" t="s">
        <v>812</v>
      </c>
    </row>
    <row r="49" spans="1:1" x14ac:dyDescent="0.2">
      <c r="A49" s="268" t="s">
        <v>878</v>
      </c>
    </row>
    <row r="50" spans="1:1" x14ac:dyDescent="0.2">
      <c r="A50" s="268" t="s">
        <v>872</v>
      </c>
    </row>
    <row r="51" spans="1:1" x14ac:dyDescent="0.2">
      <c r="A51" s="268" t="s">
        <v>879</v>
      </c>
    </row>
    <row r="52" spans="1:1" x14ac:dyDescent="0.2">
      <c r="A52" s="269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2CCA-3E25-4B38-ACAB-D34BDD64CCDC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5" t="str">
        <f>'DOE25'!A2</f>
        <v>Somersworth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1" t="s">
        <v>869</v>
      </c>
      <c r="G3" s="218" t="s">
        <v>59</v>
      </c>
      <c r="H3" s="242" t="s">
        <v>832</v>
      </c>
    </row>
    <row r="4" spans="1:9" x14ac:dyDescent="0.2">
      <c r="A4" s="251" t="s">
        <v>834</v>
      </c>
      <c r="B4" s="251" t="s">
        <v>850</v>
      </c>
      <c r="C4" s="251" t="s">
        <v>825</v>
      </c>
      <c r="D4" s="251" t="s">
        <v>851</v>
      </c>
      <c r="E4" s="251" t="s">
        <v>851</v>
      </c>
      <c r="F4" s="250" t="s">
        <v>831</v>
      </c>
      <c r="G4" s="251" t="s">
        <v>845</v>
      </c>
      <c r="H4" s="252" t="s">
        <v>833</v>
      </c>
    </row>
    <row r="5" spans="1:9" x14ac:dyDescent="0.2">
      <c r="A5" s="32">
        <v>1000</v>
      </c>
      <c r="B5" t="s">
        <v>218</v>
      </c>
      <c r="C5" s="245">
        <f t="shared" ref="C5:C19" si="0">SUM(D5:H5)</f>
        <v>13547949.020000001</v>
      </c>
      <c r="D5" s="20">
        <f>SUM('DOE25'!L189:L192)+SUM('DOE25'!L207:L210)+SUM('DOE25'!L225:L228)-F5-G5</f>
        <v>13458037.360000001</v>
      </c>
      <c r="E5" s="243"/>
      <c r="F5" s="255">
        <f>SUM('DOE25'!J189:J192)+SUM('DOE25'!J207:J210)+SUM('DOE25'!J225:J228)</f>
        <v>82756.66</v>
      </c>
      <c r="G5" s="53">
        <f>SUM('DOE25'!K189:K192)+SUM('DOE25'!K207:K210)+SUM('DOE25'!K225:K228)</f>
        <v>7155</v>
      </c>
      <c r="H5" s="259"/>
    </row>
    <row r="6" spans="1:9" x14ac:dyDescent="0.2">
      <c r="A6" s="32">
        <v>2100</v>
      </c>
      <c r="B6" t="s">
        <v>835</v>
      </c>
      <c r="C6" s="245">
        <f t="shared" si="0"/>
        <v>1441671.4899999998</v>
      </c>
      <c r="D6" s="20">
        <f>'DOE25'!L194+'DOE25'!L212+'DOE25'!L230-F6-G6</f>
        <v>1427408.8799999997</v>
      </c>
      <c r="E6" s="243"/>
      <c r="F6" s="255">
        <f>'DOE25'!J194+'DOE25'!J212+'DOE25'!J230</f>
        <v>500</v>
      </c>
      <c r="G6" s="53">
        <f>'DOE25'!K194+'DOE25'!K212+'DOE25'!K230</f>
        <v>13762.61</v>
      </c>
      <c r="H6" s="259"/>
    </row>
    <row r="7" spans="1:9" x14ac:dyDescent="0.2">
      <c r="A7" s="32">
        <v>2200</v>
      </c>
      <c r="B7" t="s">
        <v>868</v>
      </c>
      <c r="C7" s="245">
        <f t="shared" si="0"/>
        <v>235279.72999999998</v>
      </c>
      <c r="D7" s="20">
        <f>'DOE25'!L195+'DOE25'!L213+'DOE25'!L231-F7-G7</f>
        <v>230097.84999999998</v>
      </c>
      <c r="E7" s="243"/>
      <c r="F7" s="255">
        <f>'DOE25'!J195+'DOE25'!J213+'DOE25'!J231</f>
        <v>5181.88</v>
      </c>
      <c r="G7" s="53">
        <f>'DOE25'!K195+'DOE25'!K213+'DOE25'!K231</f>
        <v>0</v>
      </c>
      <c r="H7" s="259"/>
    </row>
    <row r="8" spans="1:9" x14ac:dyDescent="0.2">
      <c r="A8" s="32">
        <v>2300</v>
      </c>
      <c r="B8" t="s">
        <v>836</v>
      </c>
      <c r="C8" s="245">
        <f t="shared" si="0"/>
        <v>651621.64226704219</v>
      </c>
      <c r="D8" s="243"/>
      <c r="E8" s="20">
        <f>'DOE25'!L196+'DOE25'!L214+'DOE25'!L232-F8-G8-D9-D11</f>
        <v>646236.93226704223</v>
      </c>
      <c r="F8" s="255">
        <f>'DOE25'!J196+'DOE25'!J214+'DOE25'!J232</f>
        <v>0</v>
      </c>
      <c r="G8" s="53">
        <f>'DOE25'!K196+'DOE25'!K214+'DOE25'!K232</f>
        <v>5384.71</v>
      </c>
      <c r="H8" s="259"/>
    </row>
    <row r="9" spans="1:9" x14ac:dyDescent="0.2">
      <c r="A9" s="32">
        <v>2310</v>
      </c>
      <c r="B9" t="s">
        <v>852</v>
      </c>
      <c r="C9" s="245">
        <f t="shared" si="0"/>
        <v>14229.73</v>
      </c>
      <c r="D9" s="244">
        <v>14229.73</v>
      </c>
      <c r="E9" s="243"/>
      <c r="F9" s="258"/>
      <c r="G9" s="256"/>
      <c r="H9" s="259"/>
    </row>
    <row r="10" spans="1:9" x14ac:dyDescent="0.2">
      <c r="A10" s="32">
        <v>2317</v>
      </c>
      <c r="B10" t="s">
        <v>853</v>
      </c>
      <c r="C10" s="245">
        <f t="shared" si="0"/>
        <v>26400</v>
      </c>
      <c r="D10" s="243"/>
      <c r="E10" s="244">
        <v>26400</v>
      </c>
      <c r="F10" s="258"/>
      <c r="G10" s="256"/>
      <c r="H10" s="259"/>
    </row>
    <row r="11" spans="1:9" x14ac:dyDescent="0.2">
      <c r="A11" s="32">
        <v>2321</v>
      </c>
      <c r="B11" t="s">
        <v>865</v>
      </c>
      <c r="C11" s="245">
        <f t="shared" si="0"/>
        <v>270576.96773295791</v>
      </c>
      <c r="D11" s="244">
        <v>270576.96773295791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746</v>
      </c>
      <c r="C12" s="245">
        <f t="shared" si="0"/>
        <v>1224252.8800000001</v>
      </c>
      <c r="D12" s="20">
        <f>'DOE25'!L197+'DOE25'!L215+'DOE25'!L233-F12-G12</f>
        <v>1213824.8</v>
      </c>
      <c r="E12" s="243"/>
      <c r="F12" s="255">
        <f>'DOE25'!J197+'DOE25'!J215+'DOE25'!J233</f>
        <v>3365.08</v>
      </c>
      <c r="G12" s="53">
        <f>'DOE25'!K197+'DOE25'!K215+'DOE25'!K233</f>
        <v>7063</v>
      </c>
      <c r="H12" s="259"/>
    </row>
    <row r="13" spans="1:9" x14ac:dyDescent="0.2">
      <c r="A13" s="32">
        <v>2500</v>
      </c>
      <c r="B13" t="s">
        <v>837</v>
      </c>
      <c r="C13" s="245">
        <f t="shared" si="0"/>
        <v>0</v>
      </c>
      <c r="D13" s="243"/>
      <c r="E13" s="20">
        <f>'DOE25'!L198+'DOE25'!L216+'DOE25'!L234-F13-G13</f>
        <v>0</v>
      </c>
      <c r="F13" s="255">
        <f>'DOE25'!J198+'DOE25'!J216+'DOE25'!J234</f>
        <v>0</v>
      </c>
      <c r="G13" s="53">
        <f>'DOE25'!K198+'DOE25'!K216+'DOE25'!K234</f>
        <v>0</v>
      </c>
      <c r="H13" s="259"/>
    </row>
    <row r="14" spans="1:9" x14ac:dyDescent="0.2">
      <c r="A14" s="32">
        <v>2600</v>
      </c>
      <c r="B14" t="s">
        <v>866</v>
      </c>
      <c r="C14" s="245">
        <f t="shared" si="0"/>
        <v>2456907.14</v>
      </c>
      <c r="D14" s="20">
        <f>'DOE25'!L199+'DOE25'!L217+'DOE25'!L235-F14-G14</f>
        <v>2449907.14</v>
      </c>
      <c r="E14" s="243"/>
      <c r="F14" s="255">
        <f>'DOE25'!J199+'DOE25'!J217+'DOE25'!J235</f>
        <v>7000</v>
      </c>
      <c r="G14" s="53">
        <f>'DOE25'!K199+'DOE25'!K217+'DOE25'!K235</f>
        <v>0</v>
      </c>
      <c r="H14" s="259"/>
    </row>
    <row r="15" spans="1:9" x14ac:dyDescent="0.2">
      <c r="A15" s="32">
        <v>2700</v>
      </c>
      <c r="B15" t="s">
        <v>838</v>
      </c>
      <c r="C15" s="245">
        <f t="shared" si="0"/>
        <v>874119.66</v>
      </c>
      <c r="D15" s="20">
        <f>'DOE25'!L200+'DOE25'!L218+'DOE25'!L236-F15-G15</f>
        <v>874119.66</v>
      </c>
      <c r="E15" s="243"/>
      <c r="F15" s="255">
        <f>'DOE25'!J200+'DOE25'!J218+'DOE25'!J236</f>
        <v>0</v>
      </c>
      <c r="G15" s="53">
        <f>'DOE25'!K200+'DOE25'!K218+'DOE25'!K236</f>
        <v>0</v>
      </c>
      <c r="H15" s="259"/>
    </row>
    <row r="16" spans="1:9" x14ac:dyDescent="0.2">
      <c r="A16" s="32">
        <v>2800</v>
      </c>
      <c r="B16" t="s">
        <v>839</v>
      </c>
      <c r="C16" s="245">
        <f t="shared" si="0"/>
        <v>208097.66</v>
      </c>
      <c r="D16" s="243"/>
      <c r="E16" s="20">
        <f>'DOE25'!L201+'DOE25'!L219+'DOE25'!L237-F16-G16</f>
        <v>208097.66</v>
      </c>
      <c r="F16" s="255">
        <f>'DOE25'!J201+'DOE25'!J219+'DOE25'!J237</f>
        <v>0</v>
      </c>
      <c r="G16" s="53">
        <f>'DOE25'!K201+'DOE25'!K219+'DOE25'!K237</f>
        <v>0</v>
      </c>
      <c r="H16" s="259"/>
    </row>
    <row r="17" spans="1:8" x14ac:dyDescent="0.2">
      <c r="A17" s="32">
        <v>1600</v>
      </c>
      <c r="B17" t="s">
        <v>840</v>
      </c>
      <c r="C17" s="245">
        <f t="shared" si="0"/>
        <v>0</v>
      </c>
      <c r="D17" s="20">
        <f>'DOE25'!L243-F17-G17</f>
        <v>0</v>
      </c>
      <c r="E17" s="243"/>
      <c r="F17" s="255">
        <f>'DOE25'!J243</f>
        <v>0</v>
      </c>
      <c r="G17" s="53">
        <f>'DOE25'!K243</f>
        <v>0</v>
      </c>
      <c r="H17" s="259"/>
    </row>
    <row r="18" spans="1:8" x14ac:dyDescent="0.2">
      <c r="A18" s="32">
        <v>1700</v>
      </c>
      <c r="B18" t="s">
        <v>841</v>
      </c>
      <c r="C18" s="245">
        <f t="shared" si="0"/>
        <v>0</v>
      </c>
      <c r="D18" s="20">
        <f>'DOE25'!L244-F18-G18</f>
        <v>0</v>
      </c>
      <c r="E18" s="243"/>
      <c r="F18" s="255">
        <f>'DOE25'!J244</f>
        <v>0</v>
      </c>
      <c r="G18" s="53">
        <f>'DOE25'!K244</f>
        <v>0</v>
      </c>
      <c r="H18" s="259"/>
    </row>
    <row r="19" spans="1:8" x14ac:dyDescent="0.2">
      <c r="A19" s="32">
        <v>1800</v>
      </c>
      <c r="B19" t="s">
        <v>842</v>
      </c>
      <c r="C19" s="245">
        <f t="shared" si="0"/>
        <v>0</v>
      </c>
      <c r="D19" s="20">
        <f>'DOE25'!L245-F19-G19</f>
        <v>0</v>
      </c>
      <c r="E19" s="243"/>
      <c r="F19" s="255">
        <f>'DOE25'!J245</f>
        <v>0</v>
      </c>
      <c r="G19" s="53">
        <f>'DOE25'!K245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830</v>
      </c>
      <c r="F21" s="260"/>
      <c r="G21" s="52"/>
      <c r="H21" s="261"/>
    </row>
    <row r="22" spans="1:8" x14ac:dyDescent="0.2">
      <c r="A22" s="32">
        <v>4000</v>
      </c>
      <c r="B22" t="s">
        <v>867</v>
      </c>
      <c r="C22" s="245">
        <f>SUM(D22:H22)</f>
        <v>0</v>
      </c>
      <c r="D22" s="243"/>
      <c r="E22" s="243"/>
      <c r="F22" s="255">
        <f>'DOE25'!L247+'DOE25'!L328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487</v>
      </c>
      <c r="F24" s="260"/>
      <c r="G24" s="52"/>
      <c r="H24" s="261"/>
    </row>
    <row r="25" spans="1:8" x14ac:dyDescent="0.2">
      <c r="A25" s="32" t="s">
        <v>843</v>
      </c>
      <c r="B25" t="s">
        <v>844</v>
      </c>
      <c r="C25" s="245">
        <f>SUM(D25:H25)</f>
        <v>754323.64</v>
      </c>
      <c r="D25" s="243"/>
      <c r="E25" s="243"/>
      <c r="F25" s="258"/>
      <c r="G25" s="256"/>
      <c r="H25" s="257">
        <f>'DOE25'!L252+'DOE25'!L253+'DOE25'!L333+'DOE25'!L334</f>
        <v>754323.64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846</v>
      </c>
      <c r="F27" s="260"/>
      <c r="G27" s="52"/>
      <c r="H27" s="261"/>
    </row>
    <row r="28" spans="1:8" x14ac:dyDescent="0.2">
      <c r="A28" s="32">
        <v>3100</v>
      </c>
      <c r="B28" t="s">
        <v>859</v>
      </c>
      <c r="F28" s="260"/>
      <c r="G28" s="52"/>
      <c r="H28" s="261"/>
    </row>
    <row r="29" spans="1:8" x14ac:dyDescent="0.2">
      <c r="A29" s="32"/>
      <c r="B29" t="s">
        <v>847</v>
      </c>
      <c r="C29" s="245">
        <f>SUM(D29:H29)</f>
        <v>654085.55000000005</v>
      </c>
      <c r="D29" s="20">
        <f>'DOE25'!L350+'DOE25'!L351+'DOE25'!L352-'DOE25'!I359-F29-G29</f>
        <v>652395.55000000005</v>
      </c>
      <c r="E29" s="243"/>
      <c r="F29" s="255">
        <f>'DOE25'!J350+'DOE25'!J351+'DOE25'!J352</f>
        <v>1690.0000000000002</v>
      </c>
      <c r="G29" s="53">
        <f>'DOE25'!K350+'DOE25'!K351+'DOE25'!K352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861</v>
      </c>
      <c r="B31" t="s">
        <v>860</v>
      </c>
      <c r="C31" s="245">
        <f>SUM(D31:H31)</f>
        <v>1456027.9200000002</v>
      </c>
      <c r="D31" s="20">
        <f>'DOE25'!L282+'DOE25'!L301+'DOE25'!L320+'DOE25'!L325+'DOE25'!L326+'DOE25'!L327-F31-G31</f>
        <v>1278001.7600000002</v>
      </c>
      <c r="E31" s="243"/>
      <c r="F31" s="255">
        <f>'DOE25'!J282+'DOE25'!J301+'DOE25'!J320+'DOE25'!J325+'DOE25'!J326+'DOE25'!J327</f>
        <v>140788.27000000002</v>
      </c>
      <c r="G31" s="53">
        <f>'DOE25'!K282+'DOE25'!K301+'DOE25'!K320+'DOE25'!K325+'DOE25'!K326+'DOE25'!K327</f>
        <v>37237.89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848</v>
      </c>
      <c r="D33" s="246">
        <f>SUM(D5:D31)</f>
        <v>21868599.697732963</v>
      </c>
      <c r="E33" s="246">
        <f>SUM(E5:E31)</f>
        <v>880734.59226704226</v>
      </c>
      <c r="F33" s="246">
        <f>SUM(F5:F31)</f>
        <v>241281.89</v>
      </c>
      <c r="G33" s="246">
        <f>SUM(G5:G31)</f>
        <v>70603.209999999992</v>
      </c>
      <c r="H33" s="246">
        <f>SUM(H5:H31)</f>
        <v>754323.64</v>
      </c>
    </row>
    <row r="35" spans="2:8" ht="12" thickBot="1" x14ac:dyDescent="0.25">
      <c r="B35" s="253" t="s">
        <v>881</v>
      </c>
      <c r="D35" s="254">
        <f>E33</f>
        <v>880734.59226704226</v>
      </c>
      <c r="E35" s="249"/>
    </row>
    <row r="36" spans="2:8" ht="12" thickTop="1" x14ac:dyDescent="0.2">
      <c r="B36" t="s">
        <v>849</v>
      </c>
      <c r="D36" s="20">
        <f>D33</f>
        <v>21868599.697732963</v>
      </c>
    </row>
    <row r="38" spans="2:8" x14ac:dyDescent="0.2">
      <c r="B38" s="187" t="s">
        <v>889</v>
      </c>
      <c r="C38" s="266"/>
      <c r="D38" s="267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4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41A-2DDA-44D7-ADB6-D5B4EB6A4CA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Somersworth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18825.03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653007.57999999996</v>
      </c>
      <c r="D12" s="95">
        <f>'DOE25'!G12</f>
        <v>0</v>
      </c>
      <c r="E12" s="95">
        <f>'DOE25'!H12</f>
        <v>0</v>
      </c>
      <c r="F12" s="95">
        <f>'DOE25'!I12</f>
        <v>2607541.27</v>
      </c>
      <c r="G12" s="95">
        <f>'DOE25'!J12</f>
        <v>17938.310000000001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86460.479999999996</v>
      </c>
      <c r="D13" s="95">
        <f>'DOE25'!G13</f>
        <v>27360.86</v>
      </c>
      <c r="E13" s="95">
        <f>'DOE25'!H13</f>
        <v>127058.74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739468.05999999994</v>
      </c>
      <c r="D19" s="41">
        <f>SUM(D9:D18)</f>
        <v>27360.86</v>
      </c>
      <c r="E19" s="41">
        <f>SUM(E9:E18)</f>
        <v>127058.74</v>
      </c>
      <c r="F19" s="41">
        <f>SUM(F9:F18)</f>
        <v>2607541.27</v>
      </c>
      <c r="G19" s="41">
        <f>SUM(G9:G18)</f>
        <v>36763.339999999997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1242.17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121949</v>
      </c>
      <c r="E23" s="95">
        <f>'DOE25'!H24</f>
        <v>52835.41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739468.06</v>
      </c>
      <c r="D24" s="95">
        <f>'DOE25'!G25</f>
        <v>10888.41</v>
      </c>
      <c r="E24" s="95">
        <f>'DOE25'!H25</f>
        <v>84775.34</v>
      </c>
      <c r="F24" s="95">
        <f>'DOE25'!I25</f>
        <v>813178.36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739468.06</v>
      </c>
      <c r="D32" s="41">
        <f>SUM(D22:D31)</f>
        <v>132837.41</v>
      </c>
      <c r="E32" s="41">
        <f>SUM(E22:E31)</f>
        <v>137610.75</v>
      </c>
      <c r="F32" s="41">
        <f>SUM(F22:F31)</f>
        <v>813178.36</v>
      </c>
      <c r="G32" s="41">
        <f>SUM(G22:G31)</f>
        <v>1242.17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-105476.55</v>
      </c>
      <c r="E40" s="95">
        <f>'DOE25'!H41</f>
        <v>-10552.01</v>
      </c>
      <c r="F40" s="95">
        <f>'DOE25'!I41</f>
        <v>1794362.91</v>
      </c>
      <c r="G40" s="95">
        <f>'DOE25'!J41</f>
        <v>35521.17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-105476.55</v>
      </c>
      <c r="E42" s="41">
        <f>SUM(E34:E41)</f>
        <v>-10552.01</v>
      </c>
      <c r="F42" s="41">
        <f>SUM(F34:F41)</f>
        <v>1794362.91</v>
      </c>
      <c r="G42" s="41">
        <f>SUM(G34:G41)</f>
        <v>35521.17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739468.06</v>
      </c>
      <c r="D43" s="41">
        <f>D42+D32</f>
        <v>27360.86</v>
      </c>
      <c r="E43" s="41">
        <f>E42+E32</f>
        <v>127058.74</v>
      </c>
      <c r="F43" s="41">
        <f>F42+F32</f>
        <v>2607541.27</v>
      </c>
      <c r="G43" s="41">
        <f>G42+G32</f>
        <v>36763.339999999997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9502240.0600000005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1698880.78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322638.61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39860.089999999997</v>
      </c>
      <c r="D53" s="95">
        <f>SUM('DOE25'!G90:G102)</f>
        <v>11593.2</v>
      </c>
      <c r="E53" s="95">
        <f>SUM('DOE25'!H90:H102)</f>
        <v>0</v>
      </c>
      <c r="F53" s="95">
        <f>SUM('DOE25'!I90:I102)</f>
        <v>0</v>
      </c>
      <c r="G53" s="95">
        <f>SUM('DOE25'!J90:J102)</f>
        <v>34729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1738740.87</v>
      </c>
      <c r="D54" s="130">
        <f>SUM(D49:D53)</f>
        <v>334231.81</v>
      </c>
      <c r="E54" s="130">
        <f>SUM(E49:E53)</f>
        <v>0</v>
      </c>
      <c r="F54" s="130">
        <f>SUM(F49:F53)</f>
        <v>0</v>
      </c>
      <c r="G54" s="130">
        <f>SUM(G49:G53)</f>
        <v>34729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11240980.93</v>
      </c>
      <c r="D55" s="22">
        <f>D48+D54</f>
        <v>334231.81</v>
      </c>
      <c r="E55" s="22">
        <f>E48+E54</f>
        <v>0</v>
      </c>
      <c r="F55" s="22">
        <f>F48+F54</f>
        <v>0</v>
      </c>
      <c r="G55" s="22">
        <f>G48+G54</f>
        <v>34729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5267697.03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2069705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2021051.97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-4650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9358454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-4650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267065.3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384532.18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185863.08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6979.72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837460.55999999994</v>
      </c>
      <c r="D70" s="130">
        <f>SUM(D64:D69)</f>
        <v>6979.72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10195914.560000001</v>
      </c>
      <c r="D73" s="130">
        <f>SUM(D71:D72)+D70+D62</f>
        <v>6979.72</v>
      </c>
      <c r="E73" s="130">
        <f>SUM(E71:E72)+E70+E62</f>
        <v>0</v>
      </c>
      <c r="F73" s="130">
        <f>SUM(F71:F72)+F70+F62</f>
        <v>0</v>
      </c>
      <c r="G73" s="130">
        <f>SUM(G71:G72)+G70+G62</f>
        <v>-4650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242134.07</v>
      </c>
      <c r="D80" s="95">
        <f>SUM('DOE25'!G145:G153)</f>
        <v>319427.86</v>
      </c>
      <c r="E80" s="95">
        <f>SUM('DOE25'!H145:H153)</f>
        <v>1405818.67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242134.07</v>
      </c>
      <c r="D83" s="131">
        <f>SUM(D77:D82)</f>
        <v>319427.86</v>
      </c>
      <c r="E83" s="131">
        <f>SUM(E77:E82)</f>
        <v>1405818.67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21679029.560000002</v>
      </c>
      <c r="D96" s="86">
        <f>D55+D73+D83+D95</f>
        <v>660639.3899999999</v>
      </c>
      <c r="E96" s="86">
        <f>E55+E73+E83+E95</f>
        <v>1405818.67</v>
      </c>
      <c r="F96" s="86">
        <f>F55+F73+F83+F95</f>
        <v>0</v>
      </c>
      <c r="G96" s="86">
        <f>G55+G73+G95</f>
        <v>30079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7524501.8000000007</v>
      </c>
      <c r="D101" s="24" t="s">
        <v>312</v>
      </c>
      <c r="E101" s="95">
        <f>('DOE25'!L268)+('DOE25'!L287)+('DOE25'!L306)</f>
        <v>440965.26000000007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5128696.17</v>
      </c>
      <c r="D102" s="24" t="s">
        <v>312</v>
      </c>
      <c r="E102" s="95">
        <f>('DOE25'!L269)+('DOE25'!L288)+('DOE25'!L307)</f>
        <v>528801.49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686772.89000000013</v>
      </c>
      <c r="D103" s="24" t="s">
        <v>312</v>
      </c>
      <c r="E103" s="95">
        <f>('DOE25'!L270)+('DOE25'!L289)+('DOE25'!L308)</f>
        <v>272678.81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207978.16</v>
      </c>
      <c r="D104" s="24" t="s">
        <v>312</v>
      </c>
      <c r="E104" s="95">
        <f>+('DOE25'!L271)+('DOE25'!L290)+('DOE25'!L309)</f>
        <v>339.86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13547949.020000001</v>
      </c>
      <c r="D107" s="86">
        <f>SUM(D101:D106)</f>
        <v>0</v>
      </c>
      <c r="E107" s="86">
        <f>SUM(E101:E106)</f>
        <v>1242785.4200000002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1441671.4899999998</v>
      </c>
      <c r="D110" s="24" t="s">
        <v>312</v>
      </c>
      <c r="E110" s="95">
        <f>+('DOE25'!L273)+('DOE25'!L292)+('DOE25'!L311)</f>
        <v>6762.57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235279.72999999998</v>
      </c>
      <c r="D111" s="24" t="s">
        <v>312</v>
      </c>
      <c r="E111" s="95">
        <f>+('DOE25'!L274)+('DOE25'!L293)+('DOE25'!L312)</f>
        <v>100360.77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936428.34000000008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1224252.8800000001</v>
      </c>
      <c r="D113" s="24" t="s">
        <v>312</v>
      </c>
      <c r="E113" s="95">
        <f>+('DOE25'!L276)+('DOE25'!L295)+('DOE25'!L314)</f>
        <v>-645.54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94142.03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2456907.14</v>
      </c>
      <c r="D115" s="24" t="s">
        <v>312</v>
      </c>
      <c r="E115" s="95">
        <f>+('DOE25'!L278)+('DOE25'!L297)+('DOE25'!L316)</f>
        <v>956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874119.66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208097.66</v>
      </c>
      <c r="D117" s="24" t="s">
        <v>312</v>
      </c>
      <c r="E117" s="95">
        <f>+('DOE25'!L280)+('DOE25'!L299)+('DOE25'!L318)</f>
        <v>11666.67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654085.55000000005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7376756.9000000004</v>
      </c>
      <c r="D120" s="86">
        <f>SUM(D110:D119)</f>
        <v>654085.55000000005</v>
      </c>
      <c r="E120" s="86">
        <f>SUM(E110:E119)</f>
        <v>213242.50000000003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2607541.2699999996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543545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210778.64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30079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-30079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754323.64</v>
      </c>
      <c r="D136" s="141">
        <f>SUM(D122:D135)</f>
        <v>0</v>
      </c>
      <c r="E136" s="141">
        <f>SUM(E122:E135)</f>
        <v>0</v>
      </c>
      <c r="F136" s="141">
        <f>SUM(F122:F135)</f>
        <v>2607541.2699999996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21679029.560000002</v>
      </c>
      <c r="D137" s="86">
        <f>(D107+D120+D136)</f>
        <v>654085.55000000005</v>
      </c>
      <c r="E137" s="86">
        <f>(E107+E120+E136)</f>
        <v>1456027.9200000002</v>
      </c>
      <c r="F137" s="86">
        <f>(F107+F120+F136)</f>
        <v>2607541.2699999996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1</v>
      </c>
      <c r="D143" s="153">
        <f>'DOE25'!H480</f>
        <v>2</v>
      </c>
      <c r="E143" s="153">
        <f>'DOE25'!I480</f>
        <v>3</v>
      </c>
      <c r="F143" s="153">
        <f>'DOE25'!J480</f>
        <v>4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2000000</v>
      </c>
      <c r="C146" s="137">
        <f>'DOE25'!G483</f>
        <v>5300000</v>
      </c>
      <c r="D146" s="137">
        <f>'DOE25'!H483</f>
        <v>310000</v>
      </c>
      <c r="E146" s="137">
        <f>'DOE25'!I483</f>
        <v>1338545</v>
      </c>
      <c r="F146" s="137">
        <f>'DOE25'!J483</f>
        <v>18953000</v>
      </c>
      <c r="G146" s="24" t="s">
        <v>312</v>
      </c>
    </row>
    <row r="147" spans="1:7" x14ac:dyDescent="0.2">
      <c r="A147" s="136" t="s">
        <v>31</v>
      </c>
      <c r="B147" s="137">
        <f>'DOE25'!F484</f>
        <v>4.4000000000000004</v>
      </c>
      <c r="C147" s="137">
        <f>'DOE25'!G484</f>
        <v>5.63</v>
      </c>
      <c r="D147" s="137">
        <f>'DOE25'!H484</f>
        <v>5.2</v>
      </c>
      <c r="E147" s="137">
        <f>'DOE25'!I484</f>
        <v>3.68</v>
      </c>
      <c r="F147" s="137">
        <f>'DOE25'!J484</f>
        <v>3.73</v>
      </c>
      <c r="G147" s="24" t="s">
        <v>312</v>
      </c>
    </row>
    <row r="148" spans="1:7" x14ac:dyDescent="0.2">
      <c r="A148" s="22" t="s">
        <v>32</v>
      </c>
      <c r="B148" s="137">
        <f>'DOE25'!F485</f>
        <v>260000</v>
      </c>
      <c r="C148" s="137">
        <f>'DOE25'!G485</f>
        <v>2120000</v>
      </c>
      <c r="D148" s="137">
        <f>'DOE25'!H485</f>
        <v>165000</v>
      </c>
      <c r="E148" s="137">
        <f>'DOE25'!I485</f>
        <v>1338545</v>
      </c>
      <c r="F148" s="137">
        <f>'DOE25'!J485</f>
        <v>0</v>
      </c>
      <c r="G148" s="138">
        <f>SUM(B148:F148)</f>
        <v>3883545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130000</v>
      </c>
      <c r="C150" s="137">
        <f>'DOE25'!G487</f>
        <v>265000</v>
      </c>
      <c r="D150" s="137">
        <f>'DOE25'!H487</f>
        <v>15000</v>
      </c>
      <c r="E150" s="137">
        <f>'DOE25'!I487</f>
        <v>133545</v>
      </c>
      <c r="F150" s="137">
        <f>'DOE25'!J487</f>
        <v>0</v>
      </c>
      <c r="G150" s="138">
        <f t="shared" si="0"/>
        <v>543545</v>
      </c>
    </row>
    <row r="151" spans="1:7" x14ac:dyDescent="0.2">
      <c r="A151" s="22" t="s">
        <v>35</v>
      </c>
      <c r="B151" s="137">
        <f>'DOE25'!F488</f>
        <v>130000</v>
      </c>
      <c r="C151" s="137">
        <f>'DOE25'!G488</f>
        <v>1855000</v>
      </c>
      <c r="D151" s="137">
        <f>'DOE25'!H488</f>
        <v>150000</v>
      </c>
      <c r="E151" s="137">
        <f>'DOE25'!I488</f>
        <v>1205000</v>
      </c>
      <c r="F151" s="137">
        <f>'DOE25'!J488</f>
        <v>18953000</v>
      </c>
      <c r="G151" s="138">
        <f t="shared" si="0"/>
        <v>22293000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130000</v>
      </c>
      <c r="C153" s="137">
        <f>'DOE25'!G490</f>
        <v>1855000</v>
      </c>
      <c r="D153" s="137">
        <f>'DOE25'!H490</f>
        <v>150000</v>
      </c>
      <c r="E153" s="137">
        <f>'DOE25'!I490</f>
        <v>1205000</v>
      </c>
      <c r="F153" s="137">
        <f>'DOE25'!J490</f>
        <v>18953000</v>
      </c>
      <c r="G153" s="138">
        <f t="shared" si="0"/>
        <v>22293000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265000</v>
      </c>
      <c r="D154" s="137">
        <f>'DOE25'!H491</f>
        <v>15000</v>
      </c>
      <c r="E154" s="137">
        <f>'DOE25'!I491</f>
        <v>135000</v>
      </c>
      <c r="F154" s="137">
        <f>'DOE25'!J491</f>
        <v>1378284.66</v>
      </c>
      <c r="G154" s="138">
        <f t="shared" si="0"/>
        <v>1793284.66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99044</v>
      </c>
      <c r="D155" s="137">
        <f>'DOE25'!H492</f>
        <v>7481</v>
      </c>
      <c r="E155" s="137">
        <f>'DOE25'!I492</f>
        <v>58200</v>
      </c>
      <c r="F155" s="137">
        <f>'DOE25'!J492</f>
        <v>53906.93</v>
      </c>
      <c r="G155" s="138">
        <f t="shared" si="0"/>
        <v>218631.93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364044</v>
      </c>
      <c r="D156" s="137">
        <f>'DOE25'!H493</f>
        <v>22481</v>
      </c>
      <c r="E156" s="137">
        <f>'DOE25'!I493</f>
        <v>193200</v>
      </c>
      <c r="F156" s="137">
        <f>'DOE25'!J493</f>
        <v>1432191.5899999999</v>
      </c>
      <c r="G156" s="138">
        <f t="shared" si="0"/>
        <v>2011916.5899999999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1793-F855-4CB5-8402-014ECB763D46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Somersworth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12340</v>
      </c>
    </row>
    <row r="5" spans="1:4" x14ac:dyDescent="0.2">
      <c r="B5" t="s">
        <v>735</v>
      </c>
      <c r="C5" s="179">
        <f>IF('DOE25'!G655+'DOE25'!G660=0,0,ROUND('DOE25'!G662,0))</f>
        <v>11159</v>
      </c>
    </row>
    <row r="6" spans="1:4" x14ac:dyDescent="0.2">
      <c r="B6" t="s">
        <v>62</v>
      </c>
      <c r="C6" s="179">
        <f>IF('DOE25'!H655+'DOE25'!H660=0,0,ROUND('DOE25'!H662,0))</f>
        <v>11752</v>
      </c>
    </row>
    <row r="7" spans="1:4" x14ac:dyDescent="0.2">
      <c r="B7" t="s">
        <v>736</v>
      </c>
      <c r="C7" s="179">
        <f>IF('DOE25'!I655+'DOE25'!I660=0,0,ROUND('DOE25'!I662,0))</f>
        <v>11763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7965467</v>
      </c>
      <c r="D10" s="182">
        <f>ROUND((C10/$C$28)*100,1)</f>
        <v>34.799999999999997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5657498</v>
      </c>
      <c r="D11" s="182">
        <f>ROUND((C11/$C$28)*100,1)</f>
        <v>24.7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959452</v>
      </c>
      <c r="D12" s="182">
        <f>ROUND((C12/$C$28)*100,1)</f>
        <v>4.2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208318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1448434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335641</v>
      </c>
      <c r="D16" s="182">
        <f t="shared" si="0"/>
        <v>1.5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1156193</v>
      </c>
      <c r="D17" s="182">
        <f t="shared" si="0"/>
        <v>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1223607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94142</v>
      </c>
      <c r="D19" s="182">
        <f t="shared" si="0"/>
        <v>0.4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2457863</v>
      </c>
      <c r="D20" s="182">
        <f t="shared" si="0"/>
        <v>10.7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874120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210779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319854.19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22911368.190000001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2607541</v>
      </c>
    </row>
    <row r="30" spans="1:4" x14ac:dyDescent="0.2">
      <c r="B30" s="187" t="s">
        <v>760</v>
      </c>
      <c r="C30" s="180">
        <f>SUM(C28:C29)</f>
        <v>25518909.190000001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543545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9502240</v>
      </c>
      <c r="D35" s="182">
        <f t="shared" ref="D35:D40" si="1">ROUND((C35/$C$41)*100,1)</f>
        <v>40.5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1773469.9299999997</v>
      </c>
      <c r="D36" s="182">
        <f t="shared" si="1"/>
        <v>7.6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7337402</v>
      </c>
      <c r="D37" s="182">
        <f t="shared" si="1"/>
        <v>31.3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2860842</v>
      </c>
      <c r="D38" s="182">
        <f t="shared" si="1"/>
        <v>12.2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1967381</v>
      </c>
      <c r="D39" s="182">
        <f t="shared" si="1"/>
        <v>8.4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23441334.93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B53-49B5-4273-87FE-A124667796A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Somersworth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2010-10-19T12:51:55Z</cp:lastPrinted>
  <dcterms:created xsi:type="dcterms:W3CDTF">1997-12-04T19:04:30Z</dcterms:created>
  <dcterms:modified xsi:type="dcterms:W3CDTF">2025-01-09T20:24:17Z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